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60" yWindow="1580" windowWidth="24900" windowHeight="14740" activeTab="0"/>
  </bookViews>
  <sheets>
    <sheet name="Main" sheetId="1" r:id="rId1"/>
    <sheet name="Calculations" sheetId="2" r:id="rId2"/>
    <sheet name="Terms &amp; Conditions" sheetId="3" r:id="rId3"/>
  </sheets>
  <definedNames>
    <definedName name="drift_Q">'Main'!$A$1</definedName>
    <definedName name="imm_AA">'Main'!$L$7</definedName>
    <definedName name="imm_AB">'Main'!$L$8</definedName>
    <definedName name="imm_BB">'Main'!$L$9</definedName>
    <definedName name="mut_AB">'Main'!$L$2</definedName>
    <definedName name="mut_BA">'Main'!$L$3</definedName>
    <definedName name="N">'Main'!$I$14</definedName>
    <definedName name="p">'Main'!$I$2</definedName>
    <definedName name="q">'Main'!$I$3</definedName>
    <definedName name="WAA">'Main'!$I$7</definedName>
    <definedName name="WAB">'Main'!$I$8</definedName>
    <definedName name="WBB">'Main'!$I$9</definedName>
  </definedNames>
  <calcPr fullCalcOnLoad="1"/>
</workbook>
</file>

<file path=xl/sharedStrings.xml><?xml version="1.0" encoding="utf-8"?>
<sst xmlns="http://schemas.openxmlformats.org/spreadsheetml/2006/main" count="64" uniqueCount="51">
  <si>
    <t>History:</t>
  </si>
  <si>
    <t>Date: May 3, 2004</t>
  </si>
  <si>
    <t>Institution: BioQUEST Curriculum Consortium, Beloit College</t>
  </si>
  <si>
    <t>You may use, reproduce, and distribute this module, consisting of both the software and this associated documentation, freely for all nonprofit educational purposes.  You may also make any modifications to the module and distribute the modified version.  If you do, you must:</t>
  </si>
  <si>
    <t>• In the line immediately below the title, replace the existing text (if any) with the text "© YEAR  NAME", where YEAR is the year of the modification and NAME is your name.  If you would prefer not to copyright your version, then simply leave that line blank.</t>
  </si>
  <si>
    <t>• Immediately below the new copyright line (even if you left it blank), add or retain the lines:</t>
  </si>
  <si>
    <r>
      <t xml:space="preserve">Original version: </t>
    </r>
    <r>
      <rPr>
        <i/>
        <sz val="12"/>
        <rFont val="Times"/>
        <family val="0"/>
      </rPr>
      <t>Deme 1.0</t>
    </r>
    <r>
      <rPr>
        <sz val="12"/>
        <rFont val="Times"/>
        <family val="0"/>
      </rPr>
      <t xml:space="preserve">  © 2004  Anton E. Weisstein</t>
    </r>
  </si>
  <si>
    <t>These terms and conditions form a kind of "copyleft," a type of license designed for free materials and software.  Note that because this section is to be retained, all modified versions and derivative materials must also be made freely available in the same way.  This text is based on the GNU Free Documentation License v1.2, available from the Free Software Foundation at http://www.gnu.org/copyleft/.</t>
  </si>
  <si>
    <t>Acknowledgements: Support for this work was provided, in part, by the National Science Foundation Division of Undergraduate Education, the Howard Hughes Medical Institute, EOT-PACI, and the Shodor Foundation.</t>
  </si>
  <si>
    <t>Modifications: None (original version).</t>
  </si>
  <si>
    <r>
      <t xml:space="preserve">Title: </t>
    </r>
    <r>
      <rPr>
        <i/>
        <sz val="12"/>
        <rFont val="Times"/>
        <family val="0"/>
      </rPr>
      <t>Deme 1.0</t>
    </r>
  </si>
  <si>
    <t>Name: Anton E. Weisstein</t>
  </si>
  <si>
    <t>Generation</t>
  </si>
  <si>
    <t>f(AA)</t>
  </si>
  <si>
    <t>p</t>
  </si>
  <si>
    <t>q</t>
  </si>
  <si>
    <t>Avg. fitness</t>
  </si>
  <si>
    <t>f(AB)</t>
  </si>
  <si>
    <t>f(BB)</t>
  </si>
  <si>
    <t>Post-drift</t>
  </si>
  <si>
    <t>Starting conditions</t>
  </si>
  <si>
    <t>Selection</t>
  </si>
  <si>
    <t>Drift</t>
  </si>
  <si>
    <t>Mutation</t>
  </si>
  <si>
    <t>Immigration</t>
  </si>
  <si>
    <t>Post-mutation</t>
  </si>
  <si>
    <t>Post-immigration</t>
  </si>
  <si>
    <t>freq(AA)</t>
  </si>
  <si>
    <t>freq(AB)</t>
  </si>
  <si>
    <t>freq(BB)</t>
  </si>
  <si>
    <t>W</t>
  </si>
  <si>
    <r>
      <t>W</t>
    </r>
    <r>
      <rPr>
        <vertAlign val="subscript"/>
        <sz val="18"/>
        <rFont val="Geneva"/>
        <family val="0"/>
      </rPr>
      <t>AA</t>
    </r>
  </si>
  <si>
    <r>
      <t>p</t>
    </r>
    <r>
      <rPr>
        <vertAlign val="subscript"/>
        <sz val="18"/>
        <rFont val="Geneva"/>
        <family val="0"/>
      </rPr>
      <t>0</t>
    </r>
  </si>
  <si>
    <r>
      <t>q</t>
    </r>
    <r>
      <rPr>
        <vertAlign val="subscript"/>
        <sz val="18"/>
        <rFont val="Geneva"/>
        <family val="0"/>
      </rPr>
      <t>0</t>
    </r>
  </si>
  <si>
    <r>
      <t>W</t>
    </r>
    <r>
      <rPr>
        <vertAlign val="subscript"/>
        <sz val="18"/>
        <rFont val="Geneva"/>
        <family val="0"/>
      </rPr>
      <t>AB</t>
    </r>
  </si>
  <si>
    <r>
      <t>W</t>
    </r>
    <r>
      <rPr>
        <vertAlign val="subscript"/>
        <sz val="18"/>
        <rFont val="Geneva"/>
        <family val="0"/>
      </rPr>
      <t>BB</t>
    </r>
  </si>
  <si>
    <t>N</t>
  </si>
  <si>
    <r>
      <t>m</t>
    </r>
    <r>
      <rPr>
        <vertAlign val="subscript"/>
        <sz val="18"/>
        <rFont val="Geneva"/>
        <family val="0"/>
      </rPr>
      <t>A</t>
    </r>
    <r>
      <rPr>
        <vertAlign val="subscript"/>
        <sz val="18"/>
        <rFont val="Symbol"/>
        <family val="0"/>
      </rPr>
      <t>Æ</t>
    </r>
    <r>
      <rPr>
        <vertAlign val="subscript"/>
        <sz val="18"/>
        <rFont val="Geneva"/>
        <family val="0"/>
      </rPr>
      <t>B</t>
    </r>
  </si>
  <si>
    <r>
      <t>m</t>
    </r>
    <r>
      <rPr>
        <vertAlign val="subscript"/>
        <sz val="18"/>
        <rFont val="Geneva"/>
        <family val="0"/>
      </rPr>
      <t>B</t>
    </r>
    <r>
      <rPr>
        <vertAlign val="subscript"/>
        <sz val="18"/>
        <rFont val="Symbol"/>
        <family val="0"/>
      </rPr>
      <t>Æ</t>
    </r>
    <r>
      <rPr>
        <vertAlign val="subscript"/>
        <sz val="18"/>
        <rFont val="Geneva"/>
        <family val="0"/>
      </rPr>
      <t>A</t>
    </r>
  </si>
  <si>
    <t>Normalized</t>
  </si>
  <si>
    <t>Random</t>
  </si>
  <si>
    <t>Non-normalized</t>
  </si>
  <si>
    <r>
      <t>M</t>
    </r>
    <r>
      <rPr>
        <vertAlign val="subscript"/>
        <sz val="18"/>
        <rFont val="Geneva"/>
        <family val="0"/>
      </rPr>
      <t>AA</t>
    </r>
  </si>
  <si>
    <r>
      <t>M</t>
    </r>
    <r>
      <rPr>
        <vertAlign val="subscript"/>
        <sz val="18"/>
        <rFont val="Geneva"/>
        <family val="0"/>
      </rPr>
      <t>AB</t>
    </r>
  </si>
  <si>
    <r>
      <t>M</t>
    </r>
    <r>
      <rPr>
        <vertAlign val="subscript"/>
        <sz val="18"/>
        <rFont val="Geneva"/>
        <family val="0"/>
      </rPr>
      <t>BB</t>
    </r>
  </si>
  <si>
    <t>---</t>
  </si>
  <si>
    <t>Terms and Conditions:</t>
  </si>
  <si>
    <t>• Give the modified version a title distinct from that of the existing document, and from all previous versions listed in the "History" section.</t>
  </si>
  <si>
    <t>See end of document for full modification history</t>
  </si>
  <si>
    <t>• Retain this "Terms and Conditions" section unchanged.</t>
  </si>
  <si>
    <t>• Add to the "History" section an item that includes at least the date, title, author(s), and a description of the modifications, while retaining all previous entries in that section.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</si>
</sst>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E+00"/>
    <numFmt numFmtId="173" formatCode="0.000"/>
    <numFmt numFmtId="174" formatCode="0.000E+00"/>
    <numFmt numFmtId="175" formatCode="0.00000"/>
    <numFmt numFmtId="176" formatCode="0.0000"/>
  </numFmts>
  <fonts count="62">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sz val="12"/>
      <name val="Geneva"/>
      <family val="0"/>
    </font>
    <font>
      <b/>
      <sz val="12"/>
      <name val="Geneva"/>
      <family val="0"/>
    </font>
    <font>
      <sz val="10"/>
      <name val="Geneva"/>
      <family val="0"/>
    </font>
    <font>
      <b/>
      <sz val="18"/>
      <name val="Geneva"/>
      <family val="0"/>
    </font>
    <font>
      <sz val="18"/>
      <name val="Geneva"/>
      <family val="0"/>
    </font>
    <font>
      <vertAlign val="subscript"/>
      <sz val="18"/>
      <name val="Geneva"/>
      <family val="0"/>
    </font>
    <font>
      <sz val="18"/>
      <name val="Symbol"/>
      <family val="0"/>
    </font>
    <font>
      <vertAlign val="subscript"/>
      <sz val="18"/>
      <name val="Symbol"/>
      <family val="0"/>
    </font>
    <font>
      <sz val="9"/>
      <name val="Symbol"/>
      <family val="0"/>
    </font>
    <font>
      <b/>
      <sz val="12"/>
      <color indexed="8"/>
      <name val="Times"/>
      <family val="0"/>
    </font>
    <font>
      <sz val="12"/>
      <name val="Times"/>
      <family val="0"/>
    </font>
    <font>
      <i/>
      <sz val="12"/>
      <name val="Times"/>
      <family val="0"/>
    </font>
    <font>
      <sz val="12"/>
      <color indexed="8"/>
      <name val="Times"/>
      <family val="0"/>
    </font>
    <font>
      <b/>
      <sz val="12"/>
      <name val="Times"/>
      <family val="0"/>
    </font>
    <font>
      <sz val="9.25"/>
      <color indexed="8"/>
      <name val="Geneva"/>
      <family val="0"/>
    </font>
    <font>
      <sz val="11.75"/>
      <color indexed="8"/>
      <name val="Geneva"/>
      <family val="0"/>
    </font>
    <font>
      <sz val="9"/>
      <color indexed="8"/>
      <name val="Geneva"/>
      <family val="0"/>
    </font>
    <font>
      <sz val="12.85"/>
      <color indexed="8"/>
      <name val="Genev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7.75"/>
      <color indexed="8"/>
      <name val="Geneva"/>
      <family val="0"/>
    </font>
    <font>
      <sz val="18"/>
      <color indexed="8"/>
      <name val="Geneva"/>
      <family val="0"/>
    </font>
    <font>
      <b/>
      <sz val="17"/>
      <color indexed="8"/>
      <name val="Genev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17"/>
      </right>
      <top style="thin">
        <color indexed="17"/>
      </top>
      <bottom style="thin">
        <color indexed="17"/>
      </bottom>
    </border>
    <border>
      <left style="thin">
        <color indexed="17"/>
      </left>
      <right style="thin"/>
      <top style="thin">
        <color indexed="17"/>
      </top>
      <bottom style="thin">
        <color indexed="17"/>
      </bottom>
    </border>
    <border>
      <left style="thin"/>
      <right style="thin">
        <color indexed="10"/>
      </right>
      <top style="thin">
        <color indexed="10"/>
      </top>
      <bottom style="thin">
        <color indexed="10"/>
      </bottom>
    </border>
    <border>
      <left style="thin"/>
      <right style="thin">
        <color indexed="14"/>
      </right>
      <top style="thin">
        <color indexed="14"/>
      </top>
      <bottom style="thin">
        <color indexed="14"/>
      </bottom>
    </border>
    <border>
      <left style="thin"/>
      <right style="thin">
        <color indexed="14"/>
      </right>
      <top style="thin">
        <color indexed="14"/>
      </top>
      <bottom style="thin"/>
    </border>
    <border>
      <left style="thin"/>
      <right style="thin">
        <color indexed="17"/>
      </right>
      <top style="thin">
        <color indexed="17"/>
      </top>
      <bottom style="thin"/>
    </border>
    <border>
      <left style="thin"/>
      <right style="thin">
        <color indexed="34"/>
      </right>
      <top style="thin">
        <color indexed="34"/>
      </top>
      <bottom style="thin">
        <color indexed="34"/>
      </bottom>
    </border>
    <border>
      <left style="thin"/>
      <right style="thin">
        <color indexed="34"/>
      </right>
      <top style="thin">
        <color indexed="34"/>
      </top>
      <bottom style="thin"/>
    </border>
    <border>
      <left style="thin"/>
      <right style="thin">
        <color indexed="52"/>
      </right>
      <top style="thin">
        <color indexed="52"/>
      </top>
      <bottom style="thin">
        <color indexed="52"/>
      </bottom>
    </border>
    <border>
      <left style="thin"/>
      <right style="thin">
        <color indexed="52"/>
      </right>
      <top style="thin">
        <color indexed="52"/>
      </top>
      <bottom style="thin"/>
    </border>
    <border>
      <left style="thin">
        <color indexed="14"/>
      </left>
      <right style="thin"/>
      <top style="thin">
        <color indexed="14"/>
      </top>
      <bottom style="thin"/>
    </border>
    <border>
      <left style="thin"/>
      <right style="thin">
        <color indexed="10"/>
      </right>
      <top style="thin">
        <color indexed="10"/>
      </top>
      <bottom style="thin"/>
    </border>
    <border>
      <left style="thin">
        <color indexed="14"/>
      </left>
      <right style="thin"/>
      <top style="thin">
        <color indexed="14"/>
      </top>
      <bottom style="thin">
        <color indexed="14"/>
      </bottom>
    </border>
    <border>
      <left style="thin">
        <color indexed="10"/>
      </left>
      <right style="thin"/>
      <top style="thin">
        <color indexed="10"/>
      </top>
      <bottom style="thin">
        <color indexed="10"/>
      </bottom>
    </border>
    <border>
      <left style="thin">
        <color indexed="10"/>
      </left>
      <right style="thin"/>
      <top style="thin">
        <color indexed="10"/>
      </top>
      <bottom style="thin"/>
    </border>
    <border>
      <left style="thin">
        <color indexed="17"/>
      </left>
      <right style="thin"/>
      <top style="thin">
        <color indexed="17"/>
      </top>
      <bottom style="thin"/>
    </border>
    <border>
      <left style="thin">
        <color indexed="34"/>
      </left>
      <right style="thin"/>
      <top style="thin">
        <color indexed="34"/>
      </top>
      <bottom style="thin">
        <color indexed="34"/>
      </bottom>
    </border>
    <border>
      <left style="thin">
        <color indexed="34"/>
      </left>
      <right style="thin"/>
      <top style="thin">
        <color indexed="34"/>
      </top>
      <bottom style="thin"/>
    </border>
    <border>
      <left style="thin">
        <color indexed="52"/>
      </left>
      <right style="thin"/>
      <top style="thin">
        <color indexed="52"/>
      </top>
      <bottom style="thin">
        <color indexed="52"/>
      </bottom>
    </border>
    <border>
      <left style="thin">
        <color indexed="52"/>
      </left>
      <right style="thin"/>
      <top style="thin">
        <color indexed="52"/>
      </top>
      <bottom style="thin"/>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right>
        <color indexed="63"/>
      </right>
      <top style="thin"/>
      <bottom style="thin">
        <color indexed="17"/>
      </bottom>
    </border>
    <border>
      <left>
        <color indexed="63"/>
      </left>
      <right style="thin"/>
      <top style="thin"/>
      <bottom style="thin">
        <color indexed="17"/>
      </bottom>
    </border>
    <border>
      <left style="thin"/>
      <right>
        <color indexed="63"/>
      </right>
      <top style="thin"/>
      <bottom style="thin">
        <color indexed="10"/>
      </bottom>
    </border>
    <border>
      <left>
        <color indexed="63"/>
      </left>
      <right style="thin"/>
      <top style="thin"/>
      <bottom style="thin">
        <color indexed="10"/>
      </bottom>
    </border>
    <border>
      <left style="thin"/>
      <right>
        <color indexed="63"/>
      </right>
      <top style="thin"/>
      <bottom style="thin">
        <color indexed="34"/>
      </bottom>
    </border>
    <border>
      <left>
        <color indexed="63"/>
      </left>
      <right style="thin"/>
      <top style="thin"/>
      <bottom style="thin">
        <color indexed="34"/>
      </bottom>
    </border>
    <border>
      <left style="thin"/>
      <right>
        <color indexed="63"/>
      </right>
      <top style="thin"/>
      <bottom style="thin">
        <color indexed="52"/>
      </bottom>
    </border>
    <border>
      <left>
        <color indexed="63"/>
      </left>
      <right style="thin"/>
      <top style="thin"/>
      <bottom style="thin">
        <color indexed="52"/>
      </bottom>
    </border>
    <border>
      <left style="thin"/>
      <right style="thin">
        <color indexed="14"/>
      </right>
      <top style="thin"/>
      <bottom style="thin">
        <color indexed="14"/>
      </bottom>
    </border>
    <border>
      <left style="thin">
        <color indexed="14"/>
      </left>
      <right style="thin"/>
      <top style="thin"/>
      <bottom style="thin">
        <color indexed="14"/>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0">
    <xf numFmtId="0" fontId="0" fillId="0" borderId="0" xfId="0" applyAlignment="1">
      <alignment/>
    </xf>
    <xf numFmtId="0" fontId="0" fillId="0" borderId="0" xfId="0" applyAlignment="1">
      <alignment/>
    </xf>
    <xf numFmtId="0" fontId="7" fillId="0" borderId="0" xfId="0" applyFont="1" applyBorder="1" applyAlignment="1">
      <alignment/>
    </xf>
    <xf numFmtId="0" fontId="0" fillId="0" borderId="0" xfId="0" applyBorder="1" applyAlignment="1">
      <alignment wrapText="1"/>
    </xf>
    <xf numFmtId="0" fontId="0" fillId="0" borderId="0" xfId="0" applyFill="1" applyAlignment="1">
      <alignment/>
    </xf>
    <xf numFmtId="0" fontId="8" fillId="0" borderId="0" xfId="0" applyFont="1" applyBorder="1" applyAlignment="1">
      <alignment horizontal="center" wrapText="1"/>
    </xf>
    <xf numFmtId="0" fontId="1" fillId="0" borderId="0" xfId="0" applyFont="1" applyBorder="1" applyAlignment="1">
      <alignment horizontal="center"/>
    </xf>
    <xf numFmtId="0" fontId="0" fillId="0" borderId="0" xfId="0" applyBorder="1" applyAlignment="1">
      <alignment/>
    </xf>
    <xf numFmtId="0" fontId="0" fillId="0" borderId="0" xfId="0" applyBorder="1" applyAlignment="1">
      <alignment/>
    </xf>
    <xf numFmtId="0" fontId="8"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xf>
    <xf numFmtId="0" fontId="0" fillId="0" borderId="0" xfId="0"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1" fillId="33" borderId="10" xfId="0" applyFont="1" applyFill="1" applyBorder="1" applyAlignment="1">
      <alignment horizontal="center" wrapText="1"/>
    </xf>
    <xf numFmtId="0" fontId="1" fillId="34" borderId="11" xfId="0" applyFont="1" applyFill="1" applyBorder="1" applyAlignment="1">
      <alignment horizontal="center"/>
    </xf>
    <xf numFmtId="0" fontId="1" fillId="34" borderId="10" xfId="0" applyFont="1" applyFill="1" applyBorder="1" applyAlignment="1">
      <alignment horizontal="center"/>
    </xf>
    <xf numFmtId="0" fontId="1" fillId="34" borderId="12" xfId="0" applyFont="1" applyFill="1" applyBorder="1" applyAlignment="1">
      <alignment horizontal="center"/>
    </xf>
    <xf numFmtId="173" fontId="0" fillId="34" borderId="13" xfId="0" applyNumberFormat="1" applyFill="1" applyBorder="1" applyAlignment="1">
      <alignment/>
    </xf>
    <xf numFmtId="173" fontId="0" fillId="34" borderId="0" xfId="0" applyNumberFormat="1" applyFill="1" applyBorder="1" applyAlignment="1">
      <alignment/>
    </xf>
    <xf numFmtId="173" fontId="0" fillId="34" borderId="14" xfId="0" applyNumberFormat="1" applyFill="1" applyBorder="1" applyAlignment="1">
      <alignment/>
    </xf>
    <xf numFmtId="173" fontId="0" fillId="34" borderId="11" xfId="0" applyNumberFormat="1" applyFill="1" applyBorder="1" applyAlignment="1">
      <alignment/>
    </xf>
    <xf numFmtId="173" fontId="0" fillId="34" borderId="10" xfId="0" applyNumberFormat="1" applyFill="1" applyBorder="1" applyAlignment="1">
      <alignment/>
    </xf>
    <xf numFmtId="173" fontId="0" fillId="34" borderId="12" xfId="0" applyNumberFormat="1" applyFill="1" applyBorder="1" applyAlignment="1">
      <alignment/>
    </xf>
    <xf numFmtId="0" fontId="1" fillId="35" borderId="11" xfId="0" applyFont="1" applyFill="1" applyBorder="1" applyAlignment="1">
      <alignment horizontal="center"/>
    </xf>
    <xf numFmtId="0" fontId="1" fillId="35" borderId="10" xfId="0" applyFont="1" applyFill="1" applyBorder="1" applyAlignment="1">
      <alignment horizontal="center"/>
    </xf>
    <xf numFmtId="0" fontId="1" fillId="35" borderId="12" xfId="0" applyFont="1" applyFill="1" applyBorder="1" applyAlignment="1">
      <alignment horizontal="center"/>
    </xf>
    <xf numFmtId="0" fontId="1" fillId="36" borderId="12" xfId="0" applyFont="1" applyFill="1" applyBorder="1" applyAlignment="1">
      <alignment horizontal="center" wrapText="1"/>
    </xf>
    <xf numFmtId="0" fontId="1" fillId="36" borderId="11" xfId="0" applyFont="1" applyFill="1" applyBorder="1" applyAlignment="1">
      <alignment horizontal="center" wrapText="1"/>
    </xf>
    <xf numFmtId="0" fontId="1" fillId="37" borderId="11" xfId="0" applyFont="1" applyFill="1" applyBorder="1" applyAlignment="1">
      <alignment horizontal="center"/>
    </xf>
    <xf numFmtId="0" fontId="0" fillId="37" borderId="15" xfId="0" applyFill="1" applyBorder="1" applyAlignment="1">
      <alignment wrapText="1"/>
    </xf>
    <xf numFmtId="0" fontId="0" fillId="37" borderId="16" xfId="0" applyFill="1" applyBorder="1" applyAlignment="1">
      <alignment wrapText="1"/>
    </xf>
    <xf numFmtId="0" fontId="11" fillId="33" borderId="17" xfId="0" applyFont="1" applyFill="1" applyBorder="1" applyAlignment="1">
      <alignment/>
    </xf>
    <xf numFmtId="0" fontId="11" fillId="34" borderId="18" xfId="0" applyFont="1" applyFill="1" applyBorder="1" applyAlignment="1">
      <alignment horizontal="center" wrapText="1"/>
    </xf>
    <xf numFmtId="0" fontId="11" fillId="34" borderId="19" xfId="0" applyFont="1" applyFill="1" applyBorder="1" applyAlignment="1">
      <alignment horizontal="center" wrapText="1"/>
    </xf>
    <xf numFmtId="0" fontId="11" fillId="37" borderId="20" xfId="0" applyFont="1" applyFill="1" applyBorder="1" applyAlignment="1">
      <alignment horizontal="center" wrapText="1"/>
    </xf>
    <xf numFmtId="0" fontId="13" fillId="36" borderId="21" xfId="0" applyFont="1" applyFill="1" applyBorder="1" applyAlignment="1">
      <alignment wrapText="1"/>
    </xf>
    <xf numFmtId="0" fontId="13" fillId="36" borderId="22" xfId="0" applyFont="1" applyFill="1" applyBorder="1" applyAlignment="1">
      <alignment wrapText="1"/>
    </xf>
    <xf numFmtId="0" fontId="11" fillId="35" borderId="23" xfId="0" applyFont="1" applyFill="1" applyBorder="1" applyAlignment="1">
      <alignment/>
    </xf>
    <xf numFmtId="0" fontId="11" fillId="35" borderId="24" xfId="0" applyFont="1" applyFill="1" applyBorder="1" applyAlignment="1">
      <alignment/>
    </xf>
    <xf numFmtId="173" fontId="11" fillId="34" borderId="25" xfId="0" applyNumberFormat="1" applyFont="1" applyFill="1" applyBorder="1" applyAlignment="1">
      <alignment/>
    </xf>
    <xf numFmtId="0" fontId="11" fillId="33" borderId="26" xfId="0" applyFont="1" applyFill="1" applyBorder="1" applyAlignment="1">
      <alignment/>
    </xf>
    <xf numFmtId="1" fontId="0" fillId="0" borderId="0" xfId="0" applyNumberFormat="1" applyAlignment="1">
      <alignment/>
    </xf>
    <xf numFmtId="2" fontId="0" fillId="0" borderId="0" xfId="0" applyNumberFormat="1" applyAlignment="1">
      <alignment/>
    </xf>
    <xf numFmtId="173" fontId="3" fillId="35" borderId="13" xfId="0" applyNumberFormat="1" applyFont="1" applyFill="1" applyBorder="1" applyAlignment="1">
      <alignment/>
    </xf>
    <xf numFmtId="173" fontId="3" fillId="35" borderId="0" xfId="0" applyNumberFormat="1" applyFont="1" applyFill="1" applyBorder="1" applyAlignment="1">
      <alignment/>
    </xf>
    <xf numFmtId="173" fontId="3" fillId="35" borderId="14" xfId="0" applyNumberFormat="1" applyFont="1" applyFill="1" applyBorder="1" applyAlignment="1">
      <alignment/>
    </xf>
    <xf numFmtId="173" fontId="1" fillId="35" borderId="13" xfId="0" applyNumberFormat="1" applyFont="1" applyFill="1" applyBorder="1" applyAlignment="1">
      <alignment/>
    </xf>
    <xf numFmtId="173" fontId="1" fillId="35" borderId="0" xfId="0" applyNumberFormat="1" applyFont="1" applyFill="1" applyBorder="1" applyAlignment="1">
      <alignment/>
    </xf>
    <xf numFmtId="173" fontId="1" fillId="35" borderId="14" xfId="0" applyNumberFormat="1" applyFont="1" applyFill="1" applyBorder="1" applyAlignment="1">
      <alignment/>
    </xf>
    <xf numFmtId="173" fontId="1" fillId="35" borderId="11" xfId="0" applyNumberFormat="1" applyFont="1" applyFill="1" applyBorder="1" applyAlignment="1">
      <alignment/>
    </xf>
    <xf numFmtId="173" fontId="1" fillId="35" borderId="10" xfId="0" applyNumberFormat="1" applyFont="1" applyFill="1" applyBorder="1" applyAlignment="1">
      <alignment/>
    </xf>
    <xf numFmtId="173" fontId="1" fillId="35" borderId="12" xfId="0" applyNumberFormat="1" applyFont="1" applyFill="1" applyBorder="1" applyAlignment="1">
      <alignment/>
    </xf>
    <xf numFmtId="0" fontId="15" fillId="0" borderId="0" xfId="0" applyFont="1" applyAlignment="1">
      <alignment/>
    </xf>
    <xf numFmtId="0" fontId="1" fillId="37" borderId="12" xfId="0" applyFont="1" applyFill="1" applyBorder="1" applyAlignment="1">
      <alignment horizontal="center"/>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173" fontId="0" fillId="33" borderId="13" xfId="0" applyNumberFormat="1" applyFont="1" applyFill="1" applyBorder="1" applyAlignment="1">
      <alignment/>
    </xf>
    <xf numFmtId="173" fontId="0" fillId="33" borderId="0" xfId="0" applyNumberFormat="1" applyFont="1" applyFill="1" applyBorder="1" applyAlignment="1">
      <alignment/>
    </xf>
    <xf numFmtId="173" fontId="0" fillId="33" borderId="14" xfId="0" applyNumberFormat="1" applyFont="1" applyFill="1" applyBorder="1" applyAlignment="1">
      <alignment/>
    </xf>
    <xf numFmtId="173" fontId="0" fillId="33" borderId="11" xfId="0" applyNumberFormat="1" applyFont="1" applyFill="1" applyBorder="1" applyAlignment="1">
      <alignment/>
    </xf>
    <xf numFmtId="173" fontId="0" fillId="33" borderId="10" xfId="0" applyNumberFormat="1" applyFont="1" applyFill="1" applyBorder="1" applyAlignment="1">
      <alignment/>
    </xf>
    <xf numFmtId="173" fontId="0" fillId="33" borderId="12" xfId="0" applyNumberFormat="1" applyFont="1" applyFill="1" applyBorder="1" applyAlignment="1">
      <alignment/>
    </xf>
    <xf numFmtId="173" fontId="11" fillId="34" borderId="27" xfId="0" applyNumberFormat="1" applyFont="1" applyFill="1" applyBorder="1" applyAlignment="1" applyProtection="1">
      <alignment/>
      <protection locked="0"/>
    </xf>
    <xf numFmtId="173" fontId="11" fillId="33" borderId="28" xfId="0" applyNumberFormat="1" applyFont="1" applyFill="1" applyBorder="1" applyAlignment="1" applyProtection="1">
      <alignment/>
      <protection locked="0"/>
    </xf>
    <xf numFmtId="173" fontId="11" fillId="33" borderId="29" xfId="0" applyNumberFormat="1" applyFont="1" applyFill="1" applyBorder="1" applyAlignment="1" applyProtection="1">
      <alignment/>
      <protection locked="0"/>
    </xf>
    <xf numFmtId="3" fontId="11" fillId="37" borderId="30" xfId="0" applyNumberFormat="1" applyFont="1" applyFill="1" applyBorder="1" applyAlignment="1" applyProtection="1">
      <alignment/>
      <protection locked="0"/>
    </xf>
    <xf numFmtId="11" fontId="11" fillId="36" borderId="31" xfId="0" applyNumberFormat="1" applyFont="1" applyFill="1" applyBorder="1" applyAlignment="1" applyProtection="1">
      <alignment/>
      <protection locked="0"/>
    </xf>
    <xf numFmtId="11" fontId="11" fillId="36" borderId="32" xfId="0" applyNumberFormat="1" applyFont="1" applyFill="1" applyBorder="1" applyAlignment="1" applyProtection="1">
      <alignment/>
      <protection locked="0"/>
    </xf>
    <xf numFmtId="0" fontId="11" fillId="35" borderId="33" xfId="0" applyFont="1" applyFill="1" applyBorder="1" applyAlignment="1" applyProtection="1">
      <alignment/>
      <protection locked="0"/>
    </xf>
    <xf numFmtId="0" fontId="11" fillId="35" borderId="34" xfId="0" applyFont="1" applyFill="1" applyBorder="1" applyAlignment="1" applyProtection="1">
      <alignment/>
      <protection locked="0"/>
    </xf>
    <xf numFmtId="3" fontId="1" fillId="0" borderId="0" xfId="0" applyNumberFormat="1" applyFont="1" applyAlignment="1" applyProtection="1">
      <alignment/>
      <protection locked="0"/>
    </xf>
    <xf numFmtId="173" fontId="1" fillId="0" borderId="14" xfId="0" applyNumberFormat="1" applyFont="1" applyFill="1" applyBorder="1" applyAlignment="1">
      <alignment/>
    </xf>
    <xf numFmtId="173" fontId="1" fillId="0" borderId="12" xfId="0" applyNumberFormat="1" applyFont="1" applyFill="1" applyBorder="1" applyAlignment="1">
      <alignment/>
    </xf>
    <xf numFmtId="0" fontId="1" fillId="0" borderId="0" xfId="0" applyFont="1" applyAlignment="1">
      <alignment/>
    </xf>
    <xf numFmtId="173" fontId="2" fillId="34" borderId="13" xfId="0" applyNumberFormat="1" applyFont="1" applyFill="1" applyBorder="1" applyAlignment="1">
      <alignment/>
    </xf>
    <xf numFmtId="173" fontId="2" fillId="34" borderId="0" xfId="0" applyNumberFormat="1" applyFont="1" applyFill="1" applyBorder="1" applyAlignment="1">
      <alignment/>
    </xf>
    <xf numFmtId="173" fontId="2" fillId="34" borderId="14" xfId="0" applyNumberFormat="1" applyFont="1" applyFill="1" applyBorder="1" applyAlignment="1">
      <alignment/>
    </xf>
    <xf numFmtId="173" fontId="3" fillId="0" borderId="14" xfId="0" applyNumberFormat="1" applyFont="1" applyFill="1"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173" fontId="1" fillId="36" borderId="13" xfId="0" applyNumberFormat="1" applyFont="1" applyFill="1" applyBorder="1" applyAlignment="1">
      <alignment/>
    </xf>
    <xf numFmtId="173" fontId="1" fillId="36" borderId="14" xfId="0" applyNumberFormat="1" applyFont="1" applyFill="1" applyBorder="1" applyAlignment="1">
      <alignment/>
    </xf>
    <xf numFmtId="173" fontId="1" fillId="36" borderId="11" xfId="0" applyNumberFormat="1" applyFont="1" applyFill="1" applyBorder="1" applyAlignment="1">
      <alignment/>
    </xf>
    <xf numFmtId="173" fontId="1" fillId="36" borderId="12" xfId="0" applyNumberFormat="1" applyFont="1" applyFill="1" applyBorder="1" applyAlignment="1">
      <alignment/>
    </xf>
    <xf numFmtId="173" fontId="0" fillId="37" borderId="13" xfId="0" applyNumberFormat="1" applyFont="1" applyFill="1" applyBorder="1" applyAlignment="1">
      <alignment/>
    </xf>
    <xf numFmtId="173" fontId="0" fillId="37" borderId="14" xfId="0" applyNumberFormat="1" applyFont="1" applyFill="1" applyBorder="1" applyAlignment="1">
      <alignment/>
    </xf>
    <xf numFmtId="173" fontId="0" fillId="0" borderId="0" xfId="0" applyNumberFormat="1" applyAlignment="1">
      <alignment/>
    </xf>
    <xf numFmtId="3" fontId="3" fillId="0" borderId="0" xfId="0" applyNumberFormat="1" applyFont="1" applyAlignment="1" applyProtection="1">
      <alignment/>
      <protection locked="0"/>
    </xf>
    <xf numFmtId="173" fontId="0" fillId="37" borderId="11" xfId="0" applyNumberFormat="1" applyFont="1" applyFill="1" applyBorder="1" applyAlignment="1" quotePrefix="1">
      <alignment horizontal="center"/>
    </xf>
    <xf numFmtId="173" fontId="0" fillId="37" borderId="12" xfId="0" applyNumberFormat="1" applyFont="1" applyFill="1" applyBorder="1" applyAlignment="1" quotePrefix="1">
      <alignment horizontal="center"/>
    </xf>
    <xf numFmtId="0" fontId="17" fillId="0" borderId="35" xfId="0" applyFont="1" applyBorder="1" applyAlignment="1">
      <alignment wrapText="1"/>
    </xf>
    <xf numFmtId="0" fontId="17" fillId="0" borderId="35" xfId="0" applyFont="1" applyBorder="1" applyAlignment="1">
      <alignment horizontal="center" wrapText="1"/>
    </xf>
    <xf numFmtId="0" fontId="19" fillId="0" borderId="35" xfId="0" applyFont="1" applyBorder="1" applyAlignment="1">
      <alignment wrapText="1"/>
    </xf>
    <xf numFmtId="0" fontId="16" fillId="0" borderId="35" xfId="0" applyFont="1" applyBorder="1" applyAlignment="1">
      <alignment wrapText="1"/>
    </xf>
    <xf numFmtId="0" fontId="20" fillId="0" borderId="35" xfId="0" applyFont="1" applyBorder="1" applyAlignment="1">
      <alignment wrapText="1"/>
    </xf>
    <xf numFmtId="0" fontId="17" fillId="0" borderId="36" xfId="0" applyFont="1" applyBorder="1" applyAlignment="1">
      <alignment wrapText="1"/>
    </xf>
    <xf numFmtId="0" fontId="17" fillId="0" borderId="0" xfId="0" applyFont="1" applyBorder="1" applyAlignment="1">
      <alignment wrapText="1"/>
    </xf>
    <xf numFmtId="0" fontId="16" fillId="0" borderId="37" xfId="0" applyFont="1" applyBorder="1" applyAlignment="1">
      <alignment wrapText="1"/>
    </xf>
    <xf numFmtId="0" fontId="17" fillId="0" borderId="35" xfId="0" applyFont="1" applyBorder="1" applyAlignment="1">
      <alignment horizontal="left" wrapText="1" indent="1"/>
    </xf>
    <xf numFmtId="0" fontId="10" fillId="37" borderId="38" xfId="0" applyFont="1" applyFill="1" applyBorder="1" applyAlignment="1">
      <alignment horizontal="center" vertical="center"/>
    </xf>
    <xf numFmtId="0" fontId="11" fillId="0" borderId="39" xfId="0" applyFont="1" applyBorder="1" applyAlignment="1">
      <alignment horizontal="center" vertical="center"/>
    </xf>
    <xf numFmtId="0" fontId="10"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0" fillId="36" borderId="42" xfId="0" applyFont="1" applyFill="1" applyBorder="1" applyAlignment="1">
      <alignment horizontal="center" vertical="center"/>
    </xf>
    <xf numFmtId="0" fontId="11" fillId="36" borderId="43" xfId="0" applyFont="1" applyFill="1" applyBorder="1" applyAlignment="1">
      <alignment horizontal="center" vertical="center"/>
    </xf>
    <xf numFmtId="0" fontId="10" fillId="35" borderId="44" xfId="0" applyFont="1" applyFill="1" applyBorder="1" applyAlignment="1">
      <alignment horizontal="center" vertical="center" wrapText="1"/>
    </xf>
    <xf numFmtId="0" fontId="11" fillId="35" borderId="45" xfId="0" applyFont="1" applyFill="1" applyBorder="1" applyAlignment="1">
      <alignment horizontal="center" vertical="center"/>
    </xf>
    <xf numFmtId="0" fontId="10" fillId="34" borderId="46" xfId="0" applyFont="1" applyFill="1" applyBorder="1" applyAlignment="1">
      <alignment horizontal="center" wrapText="1"/>
    </xf>
    <xf numFmtId="0" fontId="11" fillId="34" borderId="47" xfId="0" applyFont="1" applyFill="1" applyBorder="1" applyAlignment="1">
      <alignment horizontal="center"/>
    </xf>
    <xf numFmtId="0" fontId="1" fillId="37" borderId="48" xfId="0" applyFont="1" applyFill="1" applyBorder="1" applyAlignment="1">
      <alignment horizontal="center"/>
    </xf>
    <xf numFmtId="0" fontId="0" fillId="37" borderId="49" xfId="0" applyFill="1" applyBorder="1" applyAlignment="1">
      <alignment horizontal="center"/>
    </xf>
    <xf numFmtId="0" fontId="1" fillId="0" borderId="50" xfId="0" applyFont="1" applyFill="1" applyBorder="1" applyAlignment="1">
      <alignment horizontal="center" wrapText="1"/>
    </xf>
    <xf numFmtId="0" fontId="0" fillId="0" borderId="51" xfId="0" applyBorder="1" applyAlignment="1">
      <alignment wrapText="1"/>
    </xf>
    <xf numFmtId="0" fontId="1" fillId="33" borderId="48" xfId="0" applyFont="1" applyFill="1" applyBorder="1" applyAlignment="1">
      <alignment horizontal="center"/>
    </xf>
    <xf numFmtId="0" fontId="1" fillId="33" borderId="52" xfId="0" applyFont="1" applyFill="1" applyBorder="1" applyAlignment="1">
      <alignment horizontal="center"/>
    </xf>
    <xf numFmtId="0" fontId="1" fillId="33" borderId="49" xfId="0" applyFont="1" applyFill="1" applyBorder="1" applyAlignment="1">
      <alignment horizontal="center"/>
    </xf>
    <xf numFmtId="0" fontId="1" fillId="36" borderId="48" xfId="0" applyFont="1" applyFill="1" applyBorder="1" applyAlignment="1">
      <alignment horizontal="center"/>
    </xf>
    <xf numFmtId="0" fontId="0" fillId="36" borderId="49" xfId="0" applyFill="1" applyBorder="1" applyAlignment="1">
      <alignment horizontal="center"/>
    </xf>
    <xf numFmtId="0" fontId="1" fillId="34" borderId="48" xfId="0" applyFont="1" applyFill="1" applyBorder="1" applyAlignment="1">
      <alignment horizontal="center"/>
    </xf>
    <xf numFmtId="0" fontId="1" fillId="34" borderId="52" xfId="0" applyFont="1" applyFill="1" applyBorder="1" applyAlignment="1">
      <alignment horizontal="center"/>
    </xf>
    <xf numFmtId="0" fontId="1" fillId="34" borderId="49" xfId="0" applyFont="1" applyFill="1" applyBorder="1" applyAlignment="1">
      <alignment horizontal="center"/>
    </xf>
    <xf numFmtId="0" fontId="1" fillId="35" borderId="48" xfId="0" applyFont="1" applyFill="1" applyBorder="1" applyAlignment="1">
      <alignment horizontal="center"/>
    </xf>
    <xf numFmtId="0" fontId="1" fillId="35" borderId="52" xfId="0" applyFont="1" applyFill="1" applyBorder="1" applyAlignment="1">
      <alignment horizontal="center"/>
    </xf>
    <xf numFmtId="0" fontId="1" fillId="35" borderId="4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
          <c:w val="0.884"/>
          <c:h val="0.846"/>
        </c:manualLayout>
      </c:layout>
      <c:lineChart>
        <c:grouping val="standard"/>
        <c:varyColors val="0"/>
        <c:ser>
          <c:idx val="0"/>
          <c:order val="0"/>
          <c:tx>
            <c:v>freq(AA)</c:v>
          </c:tx>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D4"/>
              </a:solidFill>
              <a:ln>
                <a:solidFill>
                  <a:srgbClr val="0000D4"/>
                </a:solidFill>
              </a:ln>
            </c:spPr>
          </c:marker>
          <c:cat>
            <c:numRef>
              <c:f>Calculations!$A$3:$A$53</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Calculations!$R$3:$R$53</c:f>
              <c:numCache>
                <c:ptCount val="5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1"/>
          <c:order val="1"/>
          <c:tx>
            <c:v>freq(AB)</c:v>
          </c:tx>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6411"/>
              </a:solidFill>
              <a:ln>
                <a:solidFill>
                  <a:srgbClr val="006411"/>
                </a:solidFill>
              </a:ln>
            </c:spPr>
          </c:marker>
          <c:cat>
            <c:numRef>
              <c:f>Calculations!$A$3:$A$53</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Calculations!$S$3:$S$53</c:f>
              <c:numCache>
                <c:ptCount val="5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2"/>
          <c:order val="2"/>
          <c:tx>
            <c:v>freq(BB)</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900000"/>
              </a:solidFill>
              <a:ln>
                <a:solidFill>
                  <a:srgbClr val="900000"/>
                </a:solidFill>
              </a:ln>
            </c:spPr>
          </c:marker>
          <c:cat>
            <c:numRef>
              <c:f>Calculations!$A$3:$A$53</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Calculations!$T$3:$T$53</c:f>
              <c:numCache>
                <c:ptCount val="5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ser>
          <c:idx val="4"/>
          <c:order val="3"/>
          <c:tx>
            <c:v>p</c:v>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ABEA"/>
              </a:solidFill>
              <a:ln>
                <a:solidFill>
                  <a:srgbClr val="00ABEA"/>
                </a:solidFill>
              </a:ln>
            </c:spPr>
          </c:marker>
          <c:cat>
            <c:numRef>
              <c:f>Calculations!$A$3:$A$53</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Calculations!$U$3:$U$53</c:f>
              <c:numCache>
                <c:ptCount val="51"/>
                <c:pt idx="0">
                  <c:v>0.5</c:v>
                </c:pt>
                <c:pt idx="1">
                  <c:v>0.385</c:v>
                </c:pt>
                <c:pt idx="2">
                  <c:v>0.365</c:v>
                </c:pt>
                <c:pt idx="3">
                  <c:v>0.32000000000000006</c:v>
                </c:pt>
                <c:pt idx="4">
                  <c:v>0.29499999999999993</c:v>
                </c:pt>
                <c:pt idx="5">
                  <c:v>0.325</c:v>
                </c:pt>
                <c:pt idx="6">
                  <c:v>0.3400000000000001</c:v>
                </c:pt>
                <c:pt idx="7">
                  <c:v>0.3350000000000001</c:v>
                </c:pt>
                <c:pt idx="8">
                  <c:v>0.325</c:v>
                </c:pt>
                <c:pt idx="9">
                  <c:v>0.30499999999999994</c:v>
                </c:pt>
                <c:pt idx="10">
                  <c:v>0.3499999999999999</c:v>
                </c:pt>
                <c:pt idx="11">
                  <c:v>0.36</c:v>
                </c:pt>
                <c:pt idx="12">
                  <c:v>0.3350000000000001</c:v>
                </c:pt>
                <c:pt idx="13">
                  <c:v>0.365</c:v>
                </c:pt>
                <c:pt idx="14">
                  <c:v>0.39</c:v>
                </c:pt>
                <c:pt idx="15">
                  <c:v>0.365</c:v>
                </c:pt>
                <c:pt idx="16">
                  <c:v>0.325</c:v>
                </c:pt>
                <c:pt idx="17">
                  <c:v>0.36</c:v>
                </c:pt>
                <c:pt idx="18">
                  <c:v>0.385</c:v>
                </c:pt>
                <c:pt idx="19">
                  <c:v>0.355</c:v>
                </c:pt>
                <c:pt idx="20">
                  <c:v>0.31</c:v>
                </c:pt>
                <c:pt idx="21">
                  <c:v>0.32000000000000006</c:v>
                </c:pt>
                <c:pt idx="22">
                  <c:v>0.325</c:v>
                </c:pt>
                <c:pt idx="23">
                  <c:v>0.355</c:v>
                </c:pt>
                <c:pt idx="24">
                  <c:v>0.365</c:v>
                </c:pt>
                <c:pt idx="25">
                  <c:v>0.3499999999999999</c:v>
                </c:pt>
                <c:pt idx="26">
                  <c:v>0.32000000000000006</c:v>
                </c:pt>
                <c:pt idx="27">
                  <c:v>0.355</c:v>
                </c:pt>
                <c:pt idx="28">
                  <c:v>0.355</c:v>
                </c:pt>
                <c:pt idx="29">
                  <c:v>0.355</c:v>
                </c:pt>
                <c:pt idx="30">
                  <c:v>0.36</c:v>
                </c:pt>
                <c:pt idx="31">
                  <c:v>0.33</c:v>
                </c:pt>
                <c:pt idx="32">
                  <c:v>0.31</c:v>
                </c:pt>
                <c:pt idx="33">
                  <c:v>0.3400000000000001</c:v>
                </c:pt>
                <c:pt idx="34">
                  <c:v>0.31</c:v>
                </c:pt>
                <c:pt idx="35">
                  <c:v>0.31</c:v>
                </c:pt>
                <c:pt idx="36">
                  <c:v>0.275</c:v>
                </c:pt>
                <c:pt idx="37">
                  <c:v>0.225</c:v>
                </c:pt>
                <c:pt idx="38">
                  <c:v>0.235</c:v>
                </c:pt>
                <c:pt idx="39">
                  <c:v>0.24</c:v>
                </c:pt>
                <c:pt idx="40">
                  <c:v>0.245</c:v>
                </c:pt>
                <c:pt idx="41">
                  <c:v>0.27</c:v>
                </c:pt>
                <c:pt idx="42">
                  <c:v>0.29499999999999993</c:v>
                </c:pt>
                <c:pt idx="43">
                  <c:v>0.3499999999999999</c:v>
                </c:pt>
                <c:pt idx="44">
                  <c:v>0.3400000000000001</c:v>
                </c:pt>
                <c:pt idx="45">
                  <c:v>0.275</c:v>
                </c:pt>
                <c:pt idx="46">
                  <c:v>0.29</c:v>
                </c:pt>
                <c:pt idx="47">
                  <c:v>0.32000000000000006</c:v>
                </c:pt>
                <c:pt idx="48">
                  <c:v>0.3350000000000001</c:v>
                </c:pt>
                <c:pt idx="49">
                  <c:v>0.33</c:v>
                </c:pt>
                <c:pt idx="50">
                  <c:v>0.3449999999999999</c:v>
                </c:pt>
              </c:numCache>
            </c:numRef>
          </c:val>
          <c:smooth val="0"/>
        </c:ser>
        <c:ser>
          <c:idx val="3"/>
          <c:order val="4"/>
          <c:tx>
            <c:v>q</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val>
            <c:numRef>
              <c:f>Calculations!$V$3:$V$53</c:f>
              <c:numCache>
                <c:ptCount val="51"/>
                <c:pt idx="0">
                  <c:v>0.5</c:v>
                </c:pt>
                <c:pt idx="1">
                  <c:v>0.615</c:v>
                </c:pt>
                <c:pt idx="2">
                  <c:v>0.635</c:v>
                </c:pt>
                <c:pt idx="3">
                  <c:v>0.6799999999999999</c:v>
                </c:pt>
                <c:pt idx="4">
                  <c:v>0.705</c:v>
                </c:pt>
                <c:pt idx="5">
                  <c:v>0.675</c:v>
                </c:pt>
                <c:pt idx="6">
                  <c:v>0.6599999999999999</c:v>
                </c:pt>
                <c:pt idx="7">
                  <c:v>0.665</c:v>
                </c:pt>
                <c:pt idx="8">
                  <c:v>0.675</c:v>
                </c:pt>
                <c:pt idx="9">
                  <c:v>0.6949999999999998</c:v>
                </c:pt>
                <c:pt idx="10">
                  <c:v>0.65</c:v>
                </c:pt>
                <c:pt idx="11">
                  <c:v>0.64</c:v>
                </c:pt>
                <c:pt idx="12">
                  <c:v>0.665</c:v>
                </c:pt>
                <c:pt idx="13">
                  <c:v>0.635</c:v>
                </c:pt>
                <c:pt idx="14">
                  <c:v>0.61</c:v>
                </c:pt>
                <c:pt idx="15">
                  <c:v>0.635</c:v>
                </c:pt>
                <c:pt idx="16">
                  <c:v>0.675</c:v>
                </c:pt>
                <c:pt idx="17">
                  <c:v>0.64</c:v>
                </c:pt>
                <c:pt idx="18">
                  <c:v>0.615</c:v>
                </c:pt>
                <c:pt idx="19">
                  <c:v>0.645</c:v>
                </c:pt>
                <c:pt idx="20">
                  <c:v>0.6899999999999998</c:v>
                </c:pt>
                <c:pt idx="21">
                  <c:v>0.6799999999999999</c:v>
                </c:pt>
                <c:pt idx="22">
                  <c:v>0.675</c:v>
                </c:pt>
                <c:pt idx="23">
                  <c:v>0.645</c:v>
                </c:pt>
                <c:pt idx="24">
                  <c:v>0.635</c:v>
                </c:pt>
                <c:pt idx="25">
                  <c:v>0.65</c:v>
                </c:pt>
                <c:pt idx="26">
                  <c:v>0.6799999999999999</c:v>
                </c:pt>
                <c:pt idx="27">
                  <c:v>0.645</c:v>
                </c:pt>
                <c:pt idx="28">
                  <c:v>0.645</c:v>
                </c:pt>
                <c:pt idx="29">
                  <c:v>0.645</c:v>
                </c:pt>
                <c:pt idx="30">
                  <c:v>0.64</c:v>
                </c:pt>
                <c:pt idx="31">
                  <c:v>0.6699999999999999</c:v>
                </c:pt>
                <c:pt idx="32">
                  <c:v>0.6899999999999998</c:v>
                </c:pt>
                <c:pt idx="33">
                  <c:v>0.6599999999999999</c:v>
                </c:pt>
                <c:pt idx="34">
                  <c:v>0.6899999999999998</c:v>
                </c:pt>
                <c:pt idx="35">
                  <c:v>0.6899999999999998</c:v>
                </c:pt>
                <c:pt idx="36">
                  <c:v>0.725</c:v>
                </c:pt>
                <c:pt idx="37">
                  <c:v>0.7750000000000001</c:v>
                </c:pt>
                <c:pt idx="38">
                  <c:v>0.765</c:v>
                </c:pt>
                <c:pt idx="39">
                  <c:v>0.76</c:v>
                </c:pt>
                <c:pt idx="40">
                  <c:v>0.755</c:v>
                </c:pt>
                <c:pt idx="41">
                  <c:v>0.73</c:v>
                </c:pt>
                <c:pt idx="42">
                  <c:v>0.705</c:v>
                </c:pt>
                <c:pt idx="43">
                  <c:v>0.65</c:v>
                </c:pt>
                <c:pt idx="44">
                  <c:v>0.6599999999999999</c:v>
                </c:pt>
                <c:pt idx="45">
                  <c:v>0.725</c:v>
                </c:pt>
                <c:pt idx="46">
                  <c:v>0.71</c:v>
                </c:pt>
                <c:pt idx="47">
                  <c:v>0.6799999999999999</c:v>
                </c:pt>
                <c:pt idx="48">
                  <c:v>0.665</c:v>
                </c:pt>
                <c:pt idx="49">
                  <c:v>0.6699999999999999</c:v>
                </c:pt>
                <c:pt idx="50">
                  <c:v>0.655</c:v>
                </c:pt>
              </c:numCache>
            </c:numRef>
          </c:val>
          <c:smooth val="0"/>
        </c:ser>
        <c:ser>
          <c:idx val="5"/>
          <c:order val="5"/>
          <c:tx>
            <c:v>Mean fitness</c:v>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0713A"/>
              </a:solidFill>
              <a:ln>
                <a:solidFill>
                  <a:srgbClr val="90713A"/>
                </a:solidFill>
              </a:ln>
            </c:spPr>
          </c:marker>
          <c:cat>
            <c:numRef>
              <c:f>Calculations!$A$3:$A$53</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Calculations!$W$3:$W$53</c:f>
              <c:numCache>
                <c:ptCount val="5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val>
          <c:smooth val="0"/>
        </c:ser>
        <c:marker val="1"/>
        <c:axId val="25416527"/>
        <c:axId val="27422152"/>
      </c:lineChart>
      <c:lineChart>
        <c:grouping val="standard"/>
        <c:varyColors val="0"/>
        <c:ser>
          <c:idx val="6"/>
          <c:order val="6"/>
          <c:tx>
            <c:v>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000000"/>
                </a:solidFill>
              </a:ln>
            </c:spPr>
          </c:marker>
          <c:val>
            <c:numRef>
              <c:f>Calculations!$X$3:$X$53</c:f>
              <c:numCache>
                <c:ptCount val="51"/>
                <c:pt idx="0">
                  <c:v>0.001</c:v>
                </c:pt>
                <c:pt idx="1">
                  <c:v>0.001</c:v>
                </c:pt>
                <c:pt idx="2">
                  <c:v>0.001</c:v>
                </c:pt>
                <c:pt idx="3">
                  <c:v>0.001</c:v>
                </c:pt>
                <c:pt idx="4">
                  <c:v>0.001</c:v>
                </c:pt>
                <c:pt idx="5">
                  <c:v>0.001</c:v>
                </c:pt>
                <c:pt idx="6">
                  <c:v>0.001</c:v>
                </c:pt>
                <c:pt idx="7">
                  <c:v>0.001</c:v>
                </c:pt>
                <c:pt idx="8">
                  <c:v>0.001</c:v>
                </c:pt>
                <c:pt idx="9">
                  <c:v>0.001</c:v>
                </c:pt>
                <c:pt idx="10">
                  <c:v>0.001</c:v>
                </c:pt>
                <c:pt idx="11">
                  <c:v>0.001</c:v>
                </c:pt>
                <c:pt idx="12">
                  <c:v>0.001</c:v>
                </c:pt>
                <c:pt idx="13">
                  <c:v>0.001</c:v>
                </c:pt>
                <c:pt idx="14">
                  <c:v>0.001</c:v>
                </c:pt>
                <c:pt idx="15">
                  <c:v>0.001</c:v>
                </c:pt>
                <c:pt idx="16">
                  <c:v>0.001</c:v>
                </c:pt>
                <c:pt idx="17">
                  <c:v>0.001</c:v>
                </c:pt>
                <c:pt idx="18">
                  <c:v>0.001</c:v>
                </c:pt>
                <c:pt idx="19">
                  <c:v>0.001</c:v>
                </c:pt>
                <c:pt idx="20">
                  <c:v>0.001</c:v>
                </c:pt>
                <c:pt idx="21">
                  <c:v>0.001</c:v>
                </c:pt>
                <c:pt idx="22">
                  <c:v>0.001</c:v>
                </c:pt>
                <c:pt idx="23">
                  <c:v>0.001</c:v>
                </c:pt>
                <c:pt idx="24">
                  <c:v>0.001</c:v>
                </c:pt>
                <c:pt idx="25">
                  <c:v>0.001</c:v>
                </c:pt>
                <c:pt idx="26">
                  <c:v>0.001</c:v>
                </c:pt>
                <c:pt idx="27">
                  <c:v>0.001</c:v>
                </c:pt>
                <c:pt idx="28">
                  <c:v>0.001</c:v>
                </c:pt>
                <c:pt idx="29">
                  <c:v>0.001</c:v>
                </c:pt>
                <c:pt idx="30">
                  <c:v>0.001</c:v>
                </c:pt>
                <c:pt idx="31">
                  <c:v>0.001</c:v>
                </c:pt>
                <c:pt idx="32">
                  <c:v>0.001</c:v>
                </c:pt>
                <c:pt idx="33">
                  <c:v>0.001</c:v>
                </c:pt>
                <c:pt idx="34">
                  <c:v>0.001</c:v>
                </c:pt>
                <c:pt idx="35">
                  <c:v>0.001</c:v>
                </c:pt>
                <c:pt idx="36">
                  <c:v>0.001</c:v>
                </c:pt>
                <c:pt idx="37">
                  <c:v>0.001</c:v>
                </c:pt>
                <c:pt idx="38">
                  <c:v>0.001</c:v>
                </c:pt>
                <c:pt idx="39">
                  <c:v>0.001</c:v>
                </c:pt>
                <c:pt idx="40">
                  <c:v>0.001</c:v>
                </c:pt>
                <c:pt idx="41">
                  <c:v>0.001</c:v>
                </c:pt>
                <c:pt idx="42">
                  <c:v>0.001</c:v>
                </c:pt>
                <c:pt idx="43">
                  <c:v>0.001</c:v>
                </c:pt>
                <c:pt idx="44">
                  <c:v>0.001</c:v>
                </c:pt>
                <c:pt idx="45">
                  <c:v>0.001</c:v>
                </c:pt>
                <c:pt idx="46">
                  <c:v>0.001</c:v>
                </c:pt>
                <c:pt idx="47">
                  <c:v>0.001</c:v>
                </c:pt>
                <c:pt idx="48">
                  <c:v>0.001</c:v>
                </c:pt>
                <c:pt idx="49">
                  <c:v>0.001</c:v>
                </c:pt>
                <c:pt idx="50">
                  <c:v>0.001</c:v>
                </c:pt>
              </c:numCache>
            </c:numRef>
          </c:val>
          <c:smooth val="0"/>
        </c:ser>
        <c:marker val="1"/>
        <c:axId val="45472777"/>
        <c:axId val="6601810"/>
      </c:lineChart>
      <c:catAx>
        <c:axId val="25416527"/>
        <c:scaling>
          <c:orientation val="minMax"/>
        </c:scaling>
        <c:axPos val="b"/>
        <c:title>
          <c:tx>
            <c:rich>
              <a:bodyPr vert="horz" rot="0" anchor="ctr"/>
              <a:lstStyle/>
              <a:p>
                <a:pPr algn="ctr">
                  <a:defRPr/>
                </a:pPr>
                <a:r>
                  <a:rPr lang="en-US" cap="none" sz="1775" b="0" i="0" u="none" baseline="0">
                    <a:solidFill>
                      <a:srgbClr val="000000"/>
                    </a:solidFill>
                    <a:latin typeface="Geneva"/>
                    <a:ea typeface="Geneva"/>
                    <a:cs typeface="Geneva"/>
                  </a:rPr>
                  <a:t>Generation</a:t>
                </a:r>
              </a:p>
            </c:rich>
          </c:tx>
          <c:layout>
            <c:manualLayout>
              <c:xMode val="factor"/>
              <c:yMode val="factor"/>
              <c:x val="0.006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Geneva"/>
                <a:ea typeface="Geneva"/>
                <a:cs typeface="Geneva"/>
              </a:defRPr>
            </a:pPr>
          </a:p>
        </c:txPr>
        <c:crossAx val="27422152"/>
        <c:crossesAt val="0"/>
        <c:auto val="1"/>
        <c:lblOffset val="100"/>
        <c:tickLblSkip val="10"/>
        <c:tickMarkSkip val="10"/>
        <c:noMultiLvlLbl val="0"/>
      </c:catAx>
      <c:valAx>
        <c:axId val="27422152"/>
        <c:scaling>
          <c:orientation val="minMax"/>
          <c:max val="1"/>
          <c:min val="0"/>
        </c:scaling>
        <c:axPos val="l"/>
        <c:title>
          <c:tx>
            <c:rich>
              <a:bodyPr vert="horz" rot="-5400000" anchor="ctr"/>
              <a:lstStyle/>
              <a:p>
                <a:pPr algn="ctr">
                  <a:defRPr/>
                </a:pPr>
                <a:r>
                  <a:rPr lang="en-US" cap="none" sz="1800" b="0" i="0" u="none" baseline="0">
                    <a:solidFill>
                      <a:srgbClr val="000000"/>
                    </a:solidFill>
                    <a:latin typeface="Geneva"/>
                    <a:ea typeface="Geneva"/>
                    <a:cs typeface="Geneva"/>
                  </a:rPr>
                  <a:t>Frequency, Fitness</a:t>
                </a:r>
              </a:p>
            </c:rich>
          </c:tx>
          <c:layout>
            <c:manualLayout>
              <c:xMode val="factor"/>
              <c:yMode val="factor"/>
              <c:x val="-0.0135"/>
              <c:y val="0"/>
            </c:manualLayout>
          </c:layout>
          <c:overlay val="0"/>
          <c:spPr>
            <a:noFill/>
            <a:ln>
              <a:noFill/>
            </a:ln>
          </c:spPr>
        </c:title>
        <c:majorGridlines>
          <c:spPr>
            <a:ln w="12700">
              <a:pattFill prst="pct50">
                <a:fgClr>
                  <a:srgbClr val="000000"/>
                </a:fgClr>
                <a:bgClr>
                  <a:srgbClr val="FFFFFF"/>
                </a:bgClr>
              </a:patt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Geneva"/>
                <a:ea typeface="Geneva"/>
                <a:cs typeface="Geneva"/>
              </a:defRPr>
            </a:pPr>
          </a:p>
        </c:txPr>
        <c:crossAx val="25416527"/>
        <c:crossesAt val="1"/>
        <c:crossBetween val="between"/>
        <c:dispUnits/>
      </c:valAx>
      <c:catAx>
        <c:axId val="45472777"/>
        <c:scaling>
          <c:orientation val="minMax"/>
        </c:scaling>
        <c:axPos val="b"/>
        <c:delete val="1"/>
        <c:majorTickMark val="out"/>
        <c:minorTickMark val="none"/>
        <c:tickLblPos val="nextTo"/>
        <c:crossAx val="6601810"/>
        <c:crosses val="autoZero"/>
        <c:auto val="1"/>
        <c:lblOffset val="100"/>
        <c:tickLblSkip val="1"/>
        <c:noMultiLvlLbl val="0"/>
      </c:catAx>
      <c:valAx>
        <c:axId val="6601810"/>
        <c:scaling>
          <c:logBase val="10"/>
          <c:orientation val="minMax"/>
          <c:min val="1"/>
        </c:scaling>
        <c:axPos val="l"/>
        <c:title>
          <c:tx>
            <c:rich>
              <a:bodyPr vert="horz" rot="0" anchor="ctr"/>
              <a:lstStyle/>
              <a:p>
                <a:pPr algn="ctr">
                  <a:defRPr/>
                </a:pPr>
                <a:r>
                  <a:rPr lang="en-US" cap="none" sz="1700" b="1" i="0" u="none" baseline="0">
                    <a:solidFill>
                      <a:srgbClr val="000000"/>
                    </a:solidFill>
                    <a:latin typeface="Geneva"/>
                    <a:ea typeface="Geneva"/>
                    <a:cs typeface="Geneva"/>
                  </a:rPr>
                  <a:t>N</a:t>
                </a:r>
              </a:p>
            </c:rich>
          </c:tx>
          <c:layout>
            <c:manualLayout>
              <c:xMode val="factor"/>
              <c:yMode val="factor"/>
              <c:x val="0.006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Geneva"/>
                <a:ea typeface="Geneva"/>
                <a:cs typeface="Geneva"/>
              </a:defRPr>
            </a:pPr>
          </a:p>
        </c:txPr>
        <c:crossAx val="45472777"/>
        <c:crosses val="max"/>
        <c:crossBetween val="between"/>
        <c:dispUnits/>
      </c:valAx>
      <c:spPr>
        <a:solidFill>
          <a:srgbClr val="FFFFFF"/>
        </a:solidFill>
        <a:ln w="12700">
          <a:solidFill>
            <a:srgbClr val="808080"/>
          </a:solidFill>
        </a:ln>
      </c:spPr>
    </c:plotArea>
    <c:legend>
      <c:legendPos val="r"/>
      <c:layout>
        <c:manualLayout>
          <c:xMode val="edge"/>
          <c:yMode val="edge"/>
          <c:x val="0.0045"/>
          <c:y val="0.87225"/>
          <c:w val="0.94525"/>
          <c:h val="0.113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Geneva"/>
              <a:ea typeface="Geneva"/>
              <a:cs typeface="Geneva"/>
            </a:defRPr>
          </a:pPr>
        </a:p>
      </c:txPr>
    </c:legend>
    <c:plotVisOnly val="0"/>
    <c:dispBlanksAs val="gap"/>
    <c:showDLblsOverMax val="0"/>
  </c:chart>
  <c:spPr>
    <a:solidFill>
      <a:srgbClr val="FFFFCC"/>
    </a:solidFill>
    <a:ln w="3175">
      <a:solidFill>
        <a:srgbClr val="000000"/>
      </a:solidFill>
    </a:ln>
  </c:spPr>
  <c:txPr>
    <a:bodyPr vert="horz" rot="0"/>
    <a:lstStyle/>
    <a:p>
      <a:pPr>
        <a:defRPr lang="en-US" cap="none" sz="925" b="0" i="0" u="none" baseline="0">
          <a:solidFill>
            <a:srgbClr val="000000"/>
          </a:solidFill>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7</xdr:col>
      <xdr:colOff>9525</xdr:colOff>
      <xdr:row>15</xdr:row>
      <xdr:rowOff>0</xdr:rowOff>
    </xdr:to>
    <xdr:graphicFrame>
      <xdr:nvGraphicFramePr>
        <xdr:cNvPr id="1" name="Chart 1"/>
        <xdr:cNvGraphicFramePr/>
      </xdr:nvGraphicFramePr>
      <xdr:xfrm>
        <a:off x="9525" y="0"/>
        <a:ext cx="566737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80"/>
  <sheetViews>
    <sheetView tabSelected="1" workbookViewId="0" topLeftCell="A1">
      <selection activeCell="P16" sqref="P16"/>
    </sheetView>
  </sheetViews>
  <sheetFormatPr defaultColWidth="11.00390625" defaultRowHeight="12.75" customHeight="1"/>
  <cols>
    <col min="1" max="1" width="10.875" style="7" customWidth="1"/>
    <col min="2" max="6" width="10.875" style="3" customWidth="1"/>
    <col min="7" max="7" width="9.125" style="3" customWidth="1"/>
    <col min="8" max="8" width="13.00390625" style="3" customWidth="1"/>
    <col min="9" max="9" width="12.375" style="3" customWidth="1"/>
    <col min="10" max="10" width="6.00390625" style="3" customWidth="1"/>
    <col min="11" max="11" width="8.375" style="3" customWidth="1"/>
    <col min="12" max="12" width="17.125" style="7" customWidth="1"/>
    <col min="13" max="16384" width="10.875" style="7" customWidth="1"/>
  </cols>
  <sheetData>
    <row r="1" spans="1:30" ht="49.5" customHeight="1">
      <c r="A1" s="85">
        <v>1</v>
      </c>
      <c r="B1" s="7"/>
      <c r="C1" s="7"/>
      <c r="D1" s="7"/>
      <c r="E1" s="7"/>
      <c r="F1" s="7"/>
      <c r="G1" s="7"/>
      <c r="H1" s="113" t="s">
        <v>20</v>
      </c>
      <c r="I1" s="114"/>
      <c r="K1" s="109" t="s">
        <v>23</v>
      </c>
      <c r="L1" s="110"/>
      <c r="M1" s="1"/>
      <c r="N1" s="1"/>
      <c r="AB1" s="6"/>
      <c r="AC1" s="6"/>
      <c r="AD1" s="8"/>
    </row>
    <row r="2" spans="8:12" ht="30" customHeight="1">
      <c r="H2" s="35" t="s">
        <v>32</v>
      </c>
      <c r="I2" s="68">
        <v>0.5</v>
      </c>
      <c r="K2" s="38" t="s">
        <v>37</v>
      </c>
      <c r="L2" s="72">
        <v>0</v>
      </c>
    </row>
    <row r="3" spans="1:12" ht="30" customHeight="1">
      <c r="A3" s="9"/>
      <c r="B3" s="5"/>
      <c r="C3" s="7"/>
      <c r="D3" s="7"/>
      <c r="E3" s="5"/>
      <c r="F3" s="5"/>
      <c r="G3" s="7"/>
      <c r="H3" s="36" t="s">
        <v>33</v>
      </c>
      <c r="I3" s="42">
        <f>1-p</f>
        <v>0.5</v>
      </c>
      <c r="K3" s="39" t="s">
        <v>38</v>
      </c>
      <c r="L3" s="73">
        <v>0</v>
      </c>
    </row>
    <row r="4" spans="1:12" ht="25.5" customHeight="1">
      <c r="A4" s="9"/>
      <c r="B4" s="5"/>
      <c r="C4" s="7"/>
      <c r="D4" s="7"/>
      <c r="E4" s="5"/>
      <c r="F4" s="5"/>
      <c r="G4" s="7"/>
      <c r="H4" s="55"/>
      <c r="I4"/>
      <c r="J4" s="7"/>
      <c r="K4" s="8"/>
      <c r="L4" s="2"/>
    </row>
    <row r="5" spans="1:12" ht="25.5" customHeight="1">
      <c r="A5" s="9"/>
      <c r="B5" s="5"/>
      <c r="C5" s="7"/>
      <c r="D5" s="7"/>
      <c r="E5" s="5"/>
      <c r="F5" s="5"/>
      <c r="G5" s="7"/>
      <c r="H5" s="55"/>
      <c r="K5" s="8"/>
      <c r="L5" s="2"/>
    </row>
    <row r="6" spans="8:12" ht="25.5" customHeight="1">
      <c r="H6" s="107" t="s">
        <v>21</v>
      </c>
      <c r="I6" s="108"/>
      <c r="K6" s="111" t="s">
        <v>24</v>
      </c>
      <c r="L6" s="112"/>
    </row>
    <row r="7" spans="1:12" ht="25.5" customHeight="1">
      <c r="A7" s="9"/>
      <c r="B7" s="5"/>
      <c r="C7" s="7"/>
      <c r="D7" s="7"/>
      <c r="E7" s="5"/>
      <c r="F7" s="5"/>
      <c r="G7" s="7"/>
      <c r="H7" s="34" t="s">
        <v>31</v>
      </c>
      <c r="I7" s="69">
        <v>1</v>
      </c>
      <c r="K7" s="40" t="s">
        <v>42</v>
      </c>
      <c r="L7" s="74">
        <v>0</v>
      </c>
    </row>
    <row r="8" spans="1:12" ht="25.5" customHeight="1">
      <c r="A8" s="9"/>
      <c r="B8" s="5"/>
      <c r="C8" s="7"/>
      <c r="D8" s="7"/>
      <c r="E8" s="5"/>
      <c r="F8" s="5"/>
      <c r="G8" s="7"/>
      <c r="H8" s="34" t="s">
        <v>34</v>
      </c>
      <c r="I8" s="69">
        <v>1</v>
      </c>
      <c r="K8" s="40" t="s">
        <v>43</v>
      </c>
      <c r="L8" s="74">
        <v>0</v>
      </c>
    </row>
    <row r="9" spans="1:12" ht="25.5" customHeight="1">
      <c r="A9" s="9"/>
      <c r="B9" s="5"/>
      <c r="C9" s="7"/>
      <c r="D9" s="7"/>
      <c r="E9" s="5"/>
      <c r="F9" s="5"/>
      <c r="G9" s="7"/>
      <c r="H9" s="43" t="s">
        <v>35</v>
      </c>
      <c r="I9" s="70">
        <v>1</v>
      </c>
      <c r="K9" s="41" t="s">
        <v>44</v>
      </c>
      <c r="L9" s="75">
        <v>0</v>
      </c>
    </row>
    <row r="10" spans="1:11" ht="25.5" customHeight="1">
      <c r="A10" s="9"/>
      <c r="B10" s="5"/>
      <c r="C10" s="7"/>
      <c r="D10" s="7"/>
      <c r="E10" s="5"/>
      <c r="F10" s="5"/>
      <c r="G10" s="7"/>
      <c r="H10" s="7"/>
      <c r="K10" s="8"/>
    </row>
    <row r="11" ht="25.5" customHeight="1">
      <c r="K11" s="7"/>
    </row>
    <row r="12" spans="8:11" ht="25.5" customHeight="1">
      <c r="H12" s="105" t="s">
        <v>22</v>
      </c>
      <c r="I12" s="106"/>
      <c r="K12" s="7"/>
    </row>
    <row r="13" spans="8:11" ht="25.5" customHeight="1">
      <c r="H13" s="32"/>
      <c r="I13" s="33"/>
      <c r="K13" s="7"/>
    </row>
    <row r="14" spans="8:9" ht="25.5" customHeight="1">
      <c r="H14" s="37" t="s">
        <v>36</v>
      </c>
      <c r="I14" s="71">
        <v>100</v>
      </c>
    </row>
    <row r="15" ht="25.5" customHeight="1"/>
    <row r="16" spans="3:9" ht="30" customHeight="1">
      <c r="C16" s="8"/>
      <c r="D16" s="7"/>
      <c r="H16" s="7"/>
      <c r="I16" s="7"/>
    </row>
    <row r="17" spans="3:4" ht="30" customHeight="1">
      <c r="C17" s="8"/>
      <c r="D17" s="7"/>
    </row>
    <row r="18" spans="1:4" ht="30" customHeight="1">
      <c r="A18" s="3"/>
      <c r="B18" s="7"/>
      <c r="C18" s="8"/>
      <c r="D18" s="7"/>
    </row>
    <row r="19" spans="2:4" ht="25.5" customHeight="1">
      <c r="B19" s="7"/>
      <c r="C19" s="8"/>
      <c r="D19" s="7"/>
    </row>
    <row r="20" spans="2:9" ht="25.5" customHeight="1">
      <c r="B20" s="7"/>
      <c r="C20" s="8"/>
      <c r="F20" s="2"/>
      <c r="G20" s="7"/>
      <c r="H20" s="7"/>
      <c r="I20" s="7"/>
    </row>
    <row r="80" spans="2:19" ht="12.75" customHeight="1">
      <c r="B80" s="10"/>
      <c r="C80" s="10"/>
      <c r="D80" s="10"/>
      <c r="E80" s="10"/>
      <c r="F80" s="10"/>
      <c r="G80" s="10"/>
      <c r="H80" s="10"/>
      <c r="I80" s="10"/>
      <c r="J80" s="10"/>
      <c r="K80" s="10"/>
      <c r="L80" s="11"/>
      <c r="M80" s="11"/>
      <c r="N80" s="11"/>
      <c r="O80" s="11"/>
      <c r="P80" s="11"/>
      <c r="Q80" s="11"/>
      <c r="S80" s="12"/>
    </row>
  </sheetData>
  <sheetProtection sheet="1" objects="1" scenarios="1"/>
  <mergeCells count="5">
    <mergeCell ref="H12:I12"/>
    <mergeCell ref="H6:I6"/>
    <mergeCell ref="K1:L1"/>
    <mergeCell ref="K6:L6"/>
    <mergeCell ref="H1:I1"/>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AK54"/>
  <sheetViews>
    <sheetView workbookViewId="0" topLeftCell="A1">
      <selection activeCell="Y18" sqref="Y18"/>
    </sheetView>
  </sheetViews>
  <sheetFormatPr defaultColWidth="11.00390625" defaultRowHeight="12"/>
  <cols>
    <col min="2" max="2" width="7.875" style="0" bestFit="1" customWidth="1"/>
    <col min="3" max="3" width="6.375" style="0" bestFit="1" customWidth="1"/>
    <col min="4" max="4" width="6.125" style="0" bestFit="1" customWidth="1"/>
    <col min="5" max="5" width="6.00390625" style="0" bestFit="1" customWidth="1"/>
    <col min="6" max="6" width="6.375" style="0" bestFit="1" customWidth="1"/>
    <col min="7" max="7" width="6.125" style="0" bestFit="1" customWidth="1"/>
    <col min="8" max="8" width="6.50390625" style="0" customWidth="1"/>
    <col min="9" max="11" width="8.125" style="0" bestFit="1" customWidth="1"/>
    <col min="13" max="13" width="7.375" style="4" customWidth="1"/>
    <col min="14" max="14" width="7.375" style="0" customWidth="1"/>
    <col min="15" max="16" width="8.125" style="0" customWidth="1"/>
    <col min="17" max="24" width="0" style="0" hidden="1" customWidth="1"/>
  </cols>
  <sheetData>
    <row r="1" spans="3:24" ht="12.75">
      <c r="C1" s="119" t="s">
        <v>41</v>
      </c>
      <c r="D1" s="120"/>
      <c r="E1" s="121"/>
      <c r="F1" s="124" t="s">
        <v>39</v>
      </c>
      <c r="G1" s="125"/>
      <c r="H1" s="126"/>
      <c r="I1" s="127" t="s">
        <v>26</v>
      </c>
      <c r="J1" s="128"/>
      <c r="K1" s="129"/>
      <c r="L1" s="117" t="s">
        <v>16</v>
      </c>
      <c r="M1" s="122" t="s">
        <v>25</v>
      </c>
      <c r="N1" s="123"/>
      <c r="O1" s="115" t="s">
        <v>19</v>
      </c>
      <c r="P1" s="116"/>
      <c r="R1" s="84" t="b">
        <v>0</v>
      </c>
      <c r="S1" s="84" t="b">
        <v>0</v>
      </c>
      <c r="T1" s="84" t="b">
        <v>0</v>
      </c>
      <c r="U1" s="84" t="b">
        <v>1</v>
      </c>
      <c r="V1" s="84" t="b">
        <v>1</v>
      </c>
      <c r="W1" s="84" t="b">
        <v>0</v>
      </c>
      <c r="X1" s="84" t="b">
        <v>0</v>
      </c>
    </row>
    <row r="2" spans="1:24" ht="12.75">
      <c r="A2" s="14" t="s">
        <v>12</v>
      </c>
      <c r="B2" s="14" t="s">
        <v>36</v>
      </c>
      <c r="C2" s="57" t="s">
        <v>13</v>
      </c>
      <c r="D2" s="16" t="s">
        <v>17</v>
      </c>
      <c r="E2" s="58" t="s">
        <v>18</v>
      </c>
      <c r="F2" s="17" t="s">
        <v>13</v>
      </c>
      <c r="G2" s="18" t="s">
        <v>17</v>
      </c>
      <c r="H2" s="19" t="s">
        <v>18</v>
      </c>
      <c r="I2" s="26" t="s">
        <v>13</v>
      </c>
      <c r="J2" s="27" t="s">
        <v>17</v>
      </c>
      <c r="K2" s="28" t="s">
        <v>18</v>
      </c>
      <c r="L2" s="118"/>
      <c r="M2" s="30" t="s">
        <v>14</v>
      </c>
      <c r="N2" s="29" t="s">
        <v>15</v>
      </c>
      <c r="O2" s="31" t="s">
        <v>14</v>
      </c>
      <c r="P2" s="56" t="s">
        <v>15</v>
      </c>
      <c r="Q2" s="15" t="s">
        <v>40</v>
      </c>
      <c r="R2" s="13" t="s">
        <v>27</v>
      </c>
      <c r="S2" s="13" t="s">
        <v>28</v>
      </c>
      <c r="T2" s="13" t="s">
        <v>29</v>
      </c>
      <c r="U2" s="13" t="s">
        <v>14</v>
      </c>
      <c r="V2" s="13" t="s">
        <v>15</v>
      </c>
      <c r="W2" s="13" t="s">
        <v>30</v>
      </c>
      <c r="X2" s="13" t="s">
        <v>36</v>
      </c>
    </row>
    <row r="3" spans="1:24" ht="12.75">
      <c r="A3" s="79">
        <v>0</v>
      </c>
      <c r="B3" s="93">
        <f>N</f>
        <v>100</v>
      </c>
      <c r="C3" s="59"/>
      <c r="D3" s="60"/>
      <c r="E3" s="61"/>
      <c r="F3" s="80">
        <f>p^2</f>
        <v>0.25</v>
      </c>
      <c r="G3" s="81">
        <f>2*p*q</f>
        <v>0.5</v>
      </c>
      <c r="H3" s="82">
        <f>q^2</f>
        <v>0.25</v>
      </c>
      <c r="I3" s="46">
        <f>F3</f>
        <v>0.25</v>
      </c>
      <c r="J3" s="47">
        <f>G3</f>
        <v>0.5</v>
      </c>
      <c r="K3" s="48">
        <f>H3</f>
        <v>0.25</v>
      </c>
      <c r="L3" s="83">
        <f>I3*WAA+J3*WAB+K3*WBB</f>
        <v>1</v>
      </c>
      <c r="M3" s="86">
        <f>I3+J3/2</f>
        <v>0.5</v>
      </c>
      <c r="N3" s="87">
        <f>J3/2+K3</f>
        <v>0.5</v>
      </c>
      <c r="O3" s="90">
        <f>IF(drift_Q=1,ROUND(2*$B4*MAX(MIN(M3-IF($M3*$N3=0,0,NORMINV($Q3,0,SQRT(2*$M3*$N3*$B4)/(2*$B4))),1),0),0)/(2*$B4),M3)</f>
        <v>0.385</v>
      </c>
      <c r="P3" s="91">
        <f>1-O3</f>
        <v>0.615</v>
      </c>
      <c r="Q3" s="4">
        <f ca="1">(9629821*(NOW()-INT(NOW()))+0.211327)-INT(9629821*(NOW()-INT(NOW()))+0.211327)</f>
        <v>0.9995450200513005</v>
      </c>
      <c r="R3" s="45">
        <f>IF(R$1,IF(ISERROR(I3),-999,I3),-1)</f>
        <v>-1</v>
      </c>
      <c r="S3" s="45">
        <f>IF(S$1,IF(ISERROR(J3),-999,J3),-1)</f>
        <v>-1</v>
      </c>
      <c r="T3" s="45">
        <f>IF(T$1,IF(ISERROR(K3),-999,K3),-1)</f>
        <v>-1</v>
      </c>
      <c r="U3" s="92">
        <f>IF(U$1,IF(ISERROR(M3),-999,M3),-1)</f>
        <v>0.5</v>
      </c>
      <c r="V3" s="92">
        <f>IF(V$1,IF(ISERROR(N3),-999,N3),-1)</f>
        <v>0.5</v>
      </c>
      <c r="W3" s="45">
        <f>IF(W$1,IF(ISERROR(L3),-999,L3),-1)</f>
        <v>-1</v>
      </c>
      <c r="X3" s="44">
        <f>IF(X$1,IF(ISERROR(B3),10^-99,B3),0.001)</f>
        <v>0.001</v>
      </c>
    </row>
    <row r="4" spans="1:24" ht="12.75">
      <c r="A4" s="79">
        <f aca="true" t="shared" si="0" ref="A4:A35">A3+1</f>
        <v>1</v>
      </c>
      <c r="B4" s="76">
        <f aca="true" t="shared" si="1" ref="B4:B53">N</f>
        <v>100</v>
      </c>
      <c r="C4" s="62">
        <f>O3^2*WAA</f>
        <v>0.148225</v>
      </c>
      <c r="D4" s="63">
        <f>2*O3*P3*WAB</f>
        <v>0.47355</v>
      </c>
      <c r="E4" s="64">
        <f>P3^2*WBB</f>
        <v>0.378225</v>
      </c>
      <c r="F4" s="20">
        <f>C4/SUM($C4:$E4)</f>
        <v>0.148225</v>
      </c>
      <c r="G4" s="21">
        <f>D4/SUM($C4:$E4)</f>
        <v>0.47355</v>
      </c>
      <c r="H4" s="22">
        <f>E4/SUM($C4:$E4)</f>
        <v>0.378225</v>
      </c>
      <c r="I4" s="49">
        <f>(F4*$B4+imm_AA)/($B4+imm_AA+imm_AB+imm_BB)</f>
        <v>0.148225</v>
      </c>
      <c r="J4" s="50">
        <f>(G4*$B4+imm_AB)/($B4+imm_AA+imm_AB+imm_BB)</f>
        <v>0.47355</v>
      </c>
      <c r="K4" s="51">
        <f>(H4*$B4+imm_BB)/($B4+imm_AA+imm_AB+imm_BB)</f>
        <v>0.378225</v>
      </c>
      <c r="L4" s="77">
        <f aca="true" t="shared" si="2" ref="L4:L53">I4*WAA+J4*WAB+K4*WBB</f>
        <v>1</v>
      </c>
      <c r="M4" s="86">
        <f>(I4+J4/2)*(1-mut_AB)+(J4/2+K4)*mut_BA</f>
        <v>0.385</v>
      </c>
      <c r="N4" s="87">
        <f>(J4/2+K4)*(1-mut_BA)+(I4+J4/2)*mut_AB</f>
        <v>0.615</v>
      </c>
      <c r="O4" s="90">
        <f>IF(drift_Q=1,ROUND(2*$B5*MAX(MIN(M4-IF($M4*$N4=0,0,NORMINV($Q4,0,SQRT(2*$M4*$N4*$B5)/(2*$B5))),1),0),0)/(2*$B5),M4)</f>
        <v>0.365</v>
      </c>
      <c r="P4" s="91">
        <f>1-O4</f>
        <v>0.635</v>
      </c>
      <c r="Q4" s="4">
        <f>(9821*Q3+0.211327)-INT(9821*Q3+0.211327)</f>
        <v>0.742968923823355</v>
      </c>
      <c r="R4" s="45">
        <f aca="true" t="shared" si="3" ref="R4:R53">IF(R$1,IF(ISERROR(I4),-999,I4),-1)</f>
        <v>-1</v>
      </c>
      <c r="S4" s="45">
        <f aca="true" t="shared" si="4" ref="S4:S53">IF(S$1,IF(ISERROR(J4),-999,J4),-1)</f>
        <v>-1</v>
      </c>
      <c r="T4" s="45">
        <f aca="true" t="shared" si="5" ref="T4:T53">IF(T$1,IF(ISERROR(K4),-999,K4),-1)</f>
        <v>-1</v>
      </c>
      <c r="U4" s="92">
        <f aca="true" t="shared" si="6" ref="U4:U53">IF(U$1,IF(ISERROR(M4),-999,M4),-1)</f>
        <v>0.385</v>
      </c>
      <c r="V4" s="92">
        <f aca="true" t="shared" si="7" ref="V4:V53">IF(V$1,IF(ISERROR(N4),-999,N4),-1)</f>
        <v>0.615</v>
      </c>
      <c r="W4" s="45">
        <f aca="true" t="shared" si="8" ref="W4:W53">IF(W$1,IF(ISERROR(L4),-999,L4),-1)</f>
        <v>-1</v>
      </c>
      <c r="X4" s="44">
        <f aca="true" t="shared" si="9" ref="X4:X53">IF(X$1,IF(ISERROR(B4),10^-99,B4),0.001)</f>
        <v>0.001</v>
      </c>
    </row>
    <row r="5" spans="1:24" ht="12.75">
      <c r="A5" s="79">
        <f t="shared" si="0"/>
        <v>2</v>
      </c>
      <c r="B5" s="76">
        <f t="shared" si="1"/>
        <v>100</v>
      </c>
      <c r="C5" s="62">
        <f aca="true" t="shared" si="10" ref="C5:C53">O4^2*WAA</f>
        <v>0.13322499999999998</v>
      </c>
      <c r="D5" s="63">
        <f aca="true" t="shared" si="11" ref="D5:D53">2*O4*P4*WAB</f>
        <v>0.46355</v>
      </c>
      <c r="E5" s="64">
        <f aca="true" t="shared" si="12" ref="E5:E53">P4^2*WBB</f>
        <v>0.403225</v>
      </c>
      <c r="F5" s="20">
        <f aca="true" t="shared" si="13" ref="F5:F53">C5/SUM($C5:$E5)</f>
        <v>0.13322499999999998</v>
      </c>
      <c r="G5" s="21">
        <f aca="true" t="shared" si="14" ref="G5:G53">D5/SUM($C5:$E5)</f>
        <v>0.46355</v>
      </c>
      <c r="H5" s="22">
        <f aca="true" t="shared" si="15" ref="H5:H53">E5/SUM($C5:$E5)</f>
        <v>0.403225</v>
      </c>
      <c r="I5" s="49">
        <f>($B5*F5+imm_AA)/($B5*SUM($F5:$H5)+imm_AA+imm_AB+imm_BB)</f>
        <v>0.13322499999999998</v>
      </c>
      <c r="J5" s="50">
        <f>($B5*G5+imm_AB)/($B5*SUM($F5:$H5)+imm_AA+imm_AB+imm_BB)</f>
        <v>0.46355</v>
      </c>
      <c r="K5" s="51">
        <f>($B5*H5+imm_BB)/($B5*SUM($F5:$H5)+imm_AA+imm_AB+imm_BB)</f>
        <v>0.403225</v>
      </c>
      <c r="L5" s="77">
        <f t="shared" si="2"/>
        <v>1</v>
      </c>
      <c r="M5" s="86">
        <f aca="true" t="shared" si="16" ref="M5:M53">(I5+J5/2)*(1-mut_AB)+(J5/2+K5)*mut_BA</f>
        <v>0.365</v>
      </c>
      <c r="N5" s="87">
        <f aca="true" t="shared" si="17" ref="N5:N53">(J5/2+K5)*(1-mut_BA)+(I5+J5/2)*mut_AB</f>
        <v>0.635</v>
      </c>
      <c r="O5" s="90">
        <f>IF(drift_Q=1,ROUND(2*$B6*MAX(MIN(M5-IF($M5*$N5=0,0,NORMINV($Q5,0,SQRT(2*$M5*$N5*$B6)/(2*$B6))),1),0),0)/(2*$B6),M5)</f>
        <v>0.32</v>
      </c>
      <c r="P5" s="91">
        <f aca="true" t="shared" si="18" ref="P5:P52">1-O5</f>
        <v>0.6799999999999999</v>
      </c>
      <c r="Q5" s="4">
        <f aca="true" t="shared" si="19" ref="Q5:Q53">(9821*Q4+0.211327)-INT(9821*Q4+0.211327)</f>
        <v>0.9091278691694242</v>
      </c>
      <c r="R5" s="45">
        <f t="shared" si="3"/>
        <v>-1</v>
      </c>
      <c r="S5" s="45">
        <f t="shared" si="4"/>
        <v>-1</v>
      </c>
      <c r="T5" s="45">
        <f t="shared" si="5"/>
        <v>-1</v>
      </c>
      <c r="U5" s="92">
        <f t="shared" si="6"/>
        <v>0.365</v>
      </c>
      <c r="V5" s="92">
        <f t="shared" si="7"/>
        <v>0.635</v>
      </c>
      <c r="W5" s="45">
        <f t="shared" si="8"/>
        <v>-1</v>
      </c>
      <c r="X5" s="44">
        <f t="shared" si="9"/>
        <v>0.001</v>
      </c>
    </row>
    <row r="6" spans="1:24" ht="12.75">
      <c r="A6" s="79">
        <f t="shared" si="0"/>
        <v>3</v>
      </c>
      <c r="B6" s="76">
        <f t="shared" si="1"/>
        <v>100</v>
      </c>
      <c r="C6" s="62">
        <f t="shared" si="10"/>
        <v>0.1024</v>
      </c>
      <c r="D6" s="63">
        <f t="shared" si="11"/>
        <v>0.4352</v>
      </c>
      <c r="E6" s="64">
        <f t="shared" si="12"/>
        <v>0.4623999999999999</v>
      </c>
      <c r="F6" s="20">
        <f t="shared" si="13"/>
        <v>0.10240000000000002</v>
      </c>
      <c r="G6" s="21">
        <f t="shared" si="14"/>
        <v>0.43520000000000003</v>
      </c>
      <c r="H6" s="22">
        <f t="shared" si="15"/>
        <v>0.4624</v>
      </c>
      <c r="I6" s="49">
        <f aca="true" t="shared" si="20" ref="I6:I53">($B6*F6+imm_AA)/($B6*SUM($F6:$H6)+imm_AA+imm_AB+imm_BB)</f>
        <v>0.10240000000000002</v>
      </c>
      <c r="J6" s="50">
        <f aca="true" t="shared" si="21" ref="J6:J53">($B6*G6+imm_AB)/($B6*SUM($F6:$H6)+imm_AA+imm_AB+imm_BB)</f>
        <v>0.43520000000000003</v>
      </c>
      <c r="K6" s="51">
        <f aca="true" t="shared" si="22" ref="K6:K53">($B6*H6+imm_BB)/($B6*SUM($F6:$H6)+imm_AA+imm_AB+imm_BB)</f>
        <v>0.4623999999999999</v>
      </c>
      <c r="L6" s="77">
        <f t="shared" si="2"/>
        <v>1</v>
      </c>
      <c r="M6" s="86">
        <f t="shared" si="16"/>
        <v>0.32000000000000006</v>
      </c>
      <c r="N6" s="87">
        <f t="shared" si="17"/>
        <v>0.6799999999999999</v>
      </c>
      <c r="O6" s="90">
        <f aca="true" t="shared" si="23" ref="O6:O52">IF(drift_Q=1,ROUND(2*$B7*MAX(MIN(M6-IF($M6*$N6=0,0,NORMINV($Q6,0,SQRT(2*$M6*$N6*$B7)/(2*$B7))),1),0),0)/(2*$B7),M6)</f>
        <v>0.295</v>
      </c>
      <c r="P6" s="91">
        <f t="shared" si="18"/>
        <v>0.7050000000000001</v>
      </c>
      <c r="Q6" s="4">
        <f t="shared" si="19"/>
        <v>0.7561301129171625</v>
      </c>
      <c r="R6" s="45">
        <f t="shared" si="3"/>
        <v>-1</v>
      </c>
      <c r="S6" s="45">
        <f t="shared" si="4"/>
        <v>-1</v>
      </c>
      <c r="T6" s="45">
        <f t="shared" si="5"/>
        <v>-1</v>
      </c>
      <c r="U6" s="92">
        <f t="shared" si="6"/>
        <v>0.32000000000000006</v>
      </c>
      <c r="V6" s="92">
        <f t="shared" si="7"/>
        <v>0.6799999999999999</v>
      </c>
      <c r="W6" s="45">
        <f t="shared" si="8"/>
        <v>-1</v>
      </c>
      <c r="X6" s="44">
        <f t="shared" si="9"/>
        <v>0.001</v>
      </c>
    </row>
    <row r="7" spans="1:24" ht="12.75">
      <c r="A7" s="79">
        <f t="shared" si="0"/>
        <v>4</v>
      </c>
      <c r="B7" s="76">
        <f t="shared" si="1"/>
        <v>100</v>
      </c>
      <c r="C7" s="62">
        <f t="shared" si="10"/>
        <v>0.08702499999999999</v>
      </c>
      <c r="D7" s="63">
        <f t="shared" si="11"/>
        <v>0.41595000000000004</v>
      </c>
      <c r="E7" s="64">
        <f t="shared" si="12"/>
        <v>0.4970250000000001</v>
      </c>
      <c r="F7" s="20">
        <f t="shared" si="13"/>
        <v>0.08702499999999998</v>
      </c>
      <c r="G7" s="21">
        <f t="shared" si="14"/>
        <v>0.41594999999999993</v>
      </c>
      <c r="H7" s="22">
        <f t="shared" si="15"/>
        <v>0.497025</v>
      </c>
      <c r="I7" s="49">
        <f t="shared" si="20"/>
        <v>0.08702499999999996</v>
      </c>
      <c r="J7" s="50">
        <f t="shared" si="21"/>
        <v>0.41594999999999993</v>
      </c>
      <c r="K7" s="51">
        <f t="shared" si="22"/>
        <v>0.497025</v>
      </c>
      <c r="L7" s="77">
        <f t="shared" si="2"/>
        <v>1</v>
      </c>
      <c r="M7" s="86">
        <f t="shared" si="16"/>
        <v>0.29499999999999993</v>
      </c>
      <c r="N7" s="87">
        <f t="shared" si="17"/>
        <v>0.705</v>
      </c>
      <c r="O7" s="90">
        <f t="shared" si="23"/>
        <v>0.325</v>
      </c>
      <c r="P7" s="91">
        <f t="shared" si="18"/>
        <v>0.675</v>
      </c>
      <c r="Q7" s="4">
        <f t="shared" si="19"/>
        <v>0.1651659594526791</v>
      </c>
      <c r="R7" s="45">
        <f t="shared" si="3"/>
        <v>-1</v>
      </c>
      <c r="S7" s="45">
        <f t="shared" si="4"/>
        <v>-1</v>
      </c>
      <c r="T7" s="45">
        <f t="shared" si="5"/>
        <v>-1</v>
      </c>
      <c r="U7" s="92">
        <f t="shared" si="6"/>
        <v>0.29499999999999993</v>
      </c>
      <c r="V7" s="92">
        <f t="shared" si="7"/>
        <v>0.705</v>
      </c>
      <c r="W7" s="45">
        <f t="shared" si="8"/>
        <v>-1</v>
      </c>
      <c r="X7" s="44">
        <f t="shared" si="9"/>
        <v>0.001</v>
      </c>
    </row>
    <row r="8" spans="1:24" ht="12.75">
      <c r="A8" s="79">
        <f t="shared" si="0"/>
        <v>5</v>
      </c>
      <c r="B8" s="76">
        <f t="shared" si="1"/>
        <v>100</v>
      </c>
      <c r="C8" s="62">
        <f t="shared" si="10"/>
        <v>0.10562500000000001</v>
      </c>
      <c r="D8" s="63">
        <f t="shared" si="11"/>
        <v>0.43875000000000003</v>
      </c>
      <c r="E8" s="64">
        <f t="shared" si="12"/>
        <v>0.45562500000000006</v>
      </c>
      <c r="F8" s="20">
        <f t="shared" si="13"/>
        <v>0.10562500000000001</v>
      </c>
      <c r="G8" s="21">
        <f t="shared" si="14"/>
        <v>0.43875000000000003</v>
      </c>
      <c r="H8" s="22">
        <f t="shared" si="15"/>
        <v>0.45562500000000006</v>
      </c>
      <c r="I8" s="49">
        <f t="shared" si="20"/>
        <v>0.10562500000000002</v>
      </c>
      <c r="J8" s="50">
        <f t="shared" si="21"/>
        <v>0.43875</v>
      </c>
      <c r="K8" s="51">
        <f t="shared" si="22"/>
        <v>0.45562500000000006</v>
      </c>
      <c r="L8" s="77">
        <f t="shared" si="2"/>
        <v>1</v>
      </c>
      <c r="M8" s="86">
        <f t="shared" si="16"/>
        <v>0.325</v>
      </c>
      <c r="N8" s="87">
        <f t="shared" si="17"/>
        <v>0.675</v>
      </c>
      <c r="O8" s="90">
        <f t="shared" si="23"/>
        <v>0.34</v>
      </c>
      <c r="P8" s="91">
        <f t="shared" si="18"/>
        <v>0.6599999999999999</v>
      </c>
      <c r="Q8" s="4">
        <f t="shared" si="19"/>
        <v>0.30621478476132324</v>
      </c>
      <c r="R8" s="45">
        <f t="shared" si="3"/>
        <v>-1</v>
      </c>
      <c r="S8" s="45">
        <f t="shared" si="4"/>
        <v>-1</v>
      </c>
      <c r="T8" s="45">
        <f t="shared" si="5"/>
        <v>-1</v>
      </c>
      <c r="U8" s="92">
        <f t="shared" si="6"/>
        <v>0.325</v>
      </c>
      <c r="V8" s="92">
        <f t="shared" si="7"/>
        <v>0.675</v>
      </c>
      <c r="W8" s="45">
        <f t="shared" si="8"/>
        <v>-1</v>
      </c>
      <c r="X8" s="44">
        <f t="shared" si="9"/>
        <v>0.001</v>
      </c>
    </row>
    <row r="9" spans="1:24" ht="12.75">
      <c r="A9" s="79">
        <f t="shared" si="0"/>
        <v>6</v>
      </c>
      <c r="B9" s="76">
        <f t="shared" si="1"/>
        <v>100</v>
      </c>
      <c r="C9" s="62">
        <f t="shared" si="10"/>
        <v>0.11560000000000002</v>
      </c>
      <c r="D9" s="63">
        <f t="shared" si="11"/>
        <v>0.4488</v>
      </c>
      <c r="E9" s="64">
        <f t="shared" si="12"/>
        <v>0.4355999999999999</v>
      </c>
      <c r="F9" s="20">
        <f t="shared" si="13"/>
        <v>0.11560000000000004</v>
      </c>
      <c r="G9" s="21">
        <f t="shared" si="14"/>
        <v>0.44880000000000003</v>
      </c>
      <c r="H9" s="22">
        <f t="shared" si="15"/>
        <v>0.43559999999999993</v>
      </c>
      <c r="I9" s="49">
        <f t="shared" si="20"/>
        <v>0.11560000000000004</v>
      </c>
      <c r="J9" s="50">
        <f t="shared" si="21"/>
        <v>0.44880000000000003</v>
      </c>
      <c r="K9" s="51">
        <f t="shared" si="22"/>
        <v>0.43559999999999993</v>
      </c>
      <c r="L9" s="77">
        <f t="shared" si="2"/>
        <v>1</v>
      </c>
      <c r="M9" s="86">
        <f t="shared" si="16"/>
        <v>0.3400000000000001</v>
      </c>
      <c r="N9" s="87">
        <f t="shared" si="17"/>
        <v>0.6599999999999999</v>
      </c>
      <c r="O9" s="90">
        <f t="shared" si="23"/>
        <v>0.335</v>
      </c>
      <c r="P9" s="91">
        <f t="shared" si="18"/>
        <v>0.665</v>
      </c>
      <c r="Q9" s="4">
        <f t="shared" si="19"/>
        <v>0.5467281409555653</v>
      </c>
      <c r="R9" s="45">
        <f t="shared" si="3"/>
        <v>-1</v>
      </c>
      <c r="S9" s="45">
        <f t="shared" si="4"/>
        <v>-1</v>
      </c>
      <c r="T9" s="45">
        <f t="shared" si="5"/>
        <v>-1</v>
      </c>
      <c r="U9" s="92">
        <f t="shared" si="6"/>
        <v>0.3400000000000001</v>
      </c>
      <c r="V9" s="92">
        <f t="shared" si="7"/>
        <v>0.6599999999999999</v>
      </c>
      <c r="W9" s="45">
        <f t="shared" si="8"/>
        <v>-1</v>
      </c>
      <c r="X9" s="44">
        <f t="shared" si="9"/>
        <v>0.001</v>
      </c>
    </row>
    <row r="10" spans="1:24" ht="12.75">
      <c r="A10" s="79">
        <f t="shared" si="0"/>
        <v>7</v>
      </c>
      <c r="B10" s="76">
        <f t="shared" si="1"/>
        <v>100</v>
      </c>
      <c r="C10" s="62">
        <f t="shared" si="10"/>
        <v>0.11222500000000002</v>
      </c>
      <c r="D10" s="63">
        <f t="shared" si="11"/>
        <v>0.44555000000000006</v>
      </c>
      <c r="E10" s="64">
        <f t="shared" si="12"/>
        <v>0.44222500000000003</v>
      </c>
      <c r="F10" s="20">
        <f t="shared" si="13"/>
        <v>0.11222499999999999</v>
      </c>
      <c r="G10" s="21">
        <f t="shared" si="14"/>
        <v>0.44554999999999995</v>
      </c>
      <c r="H10" s="22">
        <f t="shared" si="15"/>
        <v>0.4422249999999999</v>
      </c>
      <c r="I10" s="49">
        <f t="shared" si="20"/>
        <v>0.11222500000000002</v>
      </c>
      <c r="J10" s="50">
        <f t="shared" si="21"/>
        <v>0.44555000000000006</v>
      </c>
      <c r="K10" s="51">
        <f t="shared" si="22"/>
        <v>0.44222500000000003</v>
      </c>
      <c r="L10" s="77">
        <f t="shared" si="2"/>
        <v>1.0000000000000002</v>
      </c>
      <c r="M10" s="86">
        <f t="shared" si="16"/>
        <v>0.3350000000000001</v>
      </c>
      <c r="N10" s="87">
        <f t="shared" si="17"/>
        <v>0.665</v>
      </c>
      <c r="O10" s="90">
        <f t="shared" si="23"/>
        <v>0.325</v>
      </c>
      <c r="P10" s="91">
        <f t="shared" si="18"/>
        <v>0.675</v>
      </c>
      <c r="Q10" s="4">
        <f t="shared" si="19"/>
        <v>0.6283993246070168</v>
      </c>
      <c r="R10" s="45">
        <f t="shared" si="3"/>
        <v>-1</v>
      </c>
      <c r="S10" s="45">
        <f t="shared" si="4"/>
        <v>-1</v>
      </c>
      <c r="T10" s="45">
        <f t="shared" si="5"/>
        <v>-1</v>
      </c>
      <c r="U10" s="92">
        <f t="shared" si="6"/>
        <v>0.3350000000000001</v>
      </c>
      <c r="V10" s="92">
        <f t="shared" si="7"/>
        <v>0.665</v>
      </c>
      <c r="W10" s="45">
        <f t="shared" si="8"/>
        <v>-1</v>
      </c>
      <c r="X10" s="44">
        <f t="shared" si="9"/>
        <v>0.001</v>
      </c>
    </row>
    <row r="11" spans="1:24" ht="12.75">
      <c r="A11" s="79">
        <f t="shared" si="0"/>
        <v>8</v>
      </c>
      <c r="B11" s="76">
        <f t="shared" si="1"/>
        <v>100</v>
      </c>
      <c r="C11" s="62">
        <f t="shared" si="10"/>
        <v>0.10562500000000001</v>
      </c>
      <c r="D11" s="63">
        <f t="shared" si="11"/>
        <v>0.43875000000000003</v>
      </c>
      <c r="E11" s="64">
        <f t="shared" si="12"/>
        <v>0.45562500000000006</v>
      </c>
      <c r="F11" s="20">
        <f t="shared" si="13"/>
        <v>0.10562500000000001</v>
      </c>
      <c r="G11" s="21">
        <f t="shared" si="14"/>
        <v>0.43875000000000003</v>
      </c>
      <c r="H11" s="22">
        <f t="shared" si="15"/>
        <v>0.45562500000000006</v>
      </c>
      <c r="I11" s="49">
        <f t="shared" si="20"/>
        <v>0.10562500000000002</v>
      </c>
      <c r="J11" s="50">
        <f t="shared" si="21"/>
        <v>0.43875</v>
      </c>
      <c r="K11" s="51">
        <f t="shared" si="22"/>
        <v>0.45562500000000006</v>
      </c>
      <c r="L11" s="77">
        <f t="shared" si="2"/>
        <v>1</v>
      </c>
      <c r="M11" s="86">
        <f t="shared" si="16"/>
        <v>0.325</v>
      </c>
      <c r="N11" s="87">
        <f t="shared" si="17"/>
        <v>0.675</v>
      </c>
      <c r="O11" s="90">
        <f t="shared" si="23"/>
        <v>0.305</v>
      </c>
      <c r="P11" s="91">
        <f t="shared" si="18"/>
        <v>0.6950000000000001</v>
      </c>
      <c r="Q11" s="4">
        <f t="shared" si="19"/>
        <v>0.7210939655114998</v>
      </c>
      <c r="R11" s="45">
        <f t="shared" si="3"/>
        <v>-1</v>
      </c>
      <c r="S11" s="45">
        <f t="shared" si="4"/>
        <v>-1</v>
      </c>
      <c r="T11" s="45">
        <f t="shared" si="5"/>
        <v>-1</v>
      </c>
      <c r="U11" s="92">
        <f t="shared" si="6"/>
        <v>0.325</v>
      </c>
      <c r="V11" s="92">
        <f t="shared" si="7"/>
        <v>0.675</v>
      </c>
      <c r="W11" s="45">
        <f t="shared" si="8"/>
        <v>-1</v>
      </c>
      <c r="X11" s="44">
        <f t="shared" si="9"/>
        <v>0.001</v>
      </c>
    </row>
    <row r="12" spans="1:24" ht="12.75">
      <c r="A12" s="79">
        <f t="shared" si="0"/>
        <v>9</v>
      </c>
      <c r="B12" s="76">
        <f t="shared" si="1"/>
        <v>100</v>
      </c>
      <c r="C12" s="62">
        <f t="shared" si="10"/>
        <v>0.093025</v>
      </c>
      <c r="D12" s="63">
        <f t="shared" si="11"/>
        <v>0.42395000000000005</v>
      </c>
      <c r="E12" s="64">
        <f t="shared" si="12"/>
        <v>0.4830250000000001</v>
      </c>
      <c r="F12" s="20">
        <f t="shared" si="13"/>
        <v>0.09302499999999998</v>
      </c>
      <c r="G12" s="21">
        <f t="shared" si="14"/>
        <v>0.42394999999999994</v>
      </c>
      <c r="H12" s="22">
        <f t="shared" si="15"/>
        <v>0.483025</v>
      </c>
      <c r="I12" s="49">
        <f t="shared" si="20"/>
        <v>0.09302499999999998</v>
      </c>
      <c r="J12" s="50">
        <f t="shared" si="21"/>
        <v>0.42394999999999994</v>
      </c>
      <c r="K12" s="51">
        <f t="shared" si="22"/>
        <v>0.4830249999999999</v>
      </c>
      <c r="L12" s="77">
        <f t="shared" si="2"/>
        <v>0.9999999999999999</v>
      </c>
      <c r="M12" s="86">
        <f t="shared" si="16"/>
        <v>0.30499999999999994</v>
      </c>
      <c r="N12" s="87">
        <f t="shared" si="17"/>
        <v>0.6949999999999998</v>
      </c>
      <c r="O12" s="90">
        <f t="shared" si="23"/>
        <v>0.35</v>
      </c>
      <c r="P12" s="91">
        <f t="shared" si="18"/>
        <v>0.65</v>
      </c>
      <c r="Q12" s="4">
        <f t="shared" si="19"/>
        <v>0.07516228843996942</v>
      </c>
      <c r="R12" s="45">
        <f t="shared" si="3"/>
        <v>-1</v>
      </c>
      <c r="S12" s="45">
        <f t="shared" si="4"/>
        <v>-1</v>
      </c>
      <c r="T12" s="45">
        <f t="shared" si="5"/>
        <v>-1</v>
      </c>
      <c r="U12" s="92">
        <f t="shared" si="6"/>
        <v>0.30499999999999994</v>
      </c>
      <c r="V12" s="92">
        <f t="shared" si="7"/>
        <v>0.6949999999999998</v>
      </c>
      <c r="W12" s="45">
        <f t="shared" si="8"/>
        <v>-1</v>
      </c>
      <c r="X12" s="44">
        <f t="shared" si="9"/>
        <v>0.001</v>
      </c>
    </row>
    <row r="13" spans="1:24" ht="12.75">
      <c r="A13" s="79">
        <f t="shared" si="0"/>
        <v>10</v>
      </c>
      <c r="B13" s="76">
        <f t="shared" si="1"/>
        <v>100</v>
      </c>
      <c r="C13" s="62">
        <f t="shared" si="10"/>
        <v>0.12249999999999998</v>
      </c>
      <c r="D13" s="63">
        <f t="shared" si="11"/>
        <v>0.45499999999999996</v>
      </c>
      <c r="E13" s="64">
        <f t="shared" si="12"/>
        <v>0.42250000000000004</v>
      </c>
      <c r="F13" s="20">
        <f t="shared" si="13"/>
        <v>0.12249999999999998</v>
      </c>
      <c r="G13" s="21">
        <f t="shared" si="14"/>
        <v>0.45499999999999996</v>
      </c>
      <c r="H13" s="22">
        <f t="shared" si="15"/>
        <v>0.42250000000000004</v>
      </c>
      <c r="I13" s="49">
        <f t="shared" si="20"/>
        <v>0.12249999999999998</v>
      </c>
      <c r="J13" s="50">
        <f t="shared" si="21"/>
        <v>0.4549999999999999</v>
      </c>
      <c r="K13" s="51">
        <f t="shared" si="22"/>
        <v>0.4225000000000001</v>
      </c>
      <c r="L13" s="77">
        <f t="shared" si="2"/>
        <v>1</v>
      </c>
      <c r="M13" s="86">
        <f t="shared" si="16"/>
        <v>0.3499999999999999</v>
      </c>
      <c r="N13" s="87">
        <f t="shared" si="17"/>
        <v>0.65</v>
      </c>
      <c r="O13" s="90">
        <f t="shared" si="23"/>
        <v>0.36</v>
      </c>
      <c r="P13" s="91">
        <f t="shared" si="18"/>
        <v>0.64</v>
      </c>
      <c r="Q13" s="4">
        <f t="shared" si="19"/>
        <v>0.3801617689396153</v>
      </c>
      <c r="R13" s="45">
        <f t="shared" si="3"/>
        <v>-1</v>
      </c>
      <c r="S13" s="45">
        <f t="shared" si="4"/>
        <v>-1</v>
      </c>
      <c r="T13" s="45">
        <f t="shared" si="5"/>
        <v>-1</v>
      </c>
      <c r="U13" s="92">
        <f t="shared" si="6"/>
        <v>0.3499999999999999</v>
      </c>
      <c r="V13" s="92">
        <f t="shared" si="7"/>
        <v>0.65</v>
      </c>
      <c r="W13" s="45">
        <f t="shared" si="8"/>
        <v>-1</v>
      </c>
      <c r="X13" s="44">
        <f t="shared" si="9"/>
        <v>0.001</v>
      </c>
    </row>
    <row r="14" spans="1:24" ht="12.75">
      <c r="A14" s="79">
        <f t="shared" si="0"/>
        <v>11</v>
      </c>
      <c r="B14" s="76">
        <f t="shared" si="1"/>
        <v>100</v>
      </c>
      <c r="C14" s="62">
        <f t="shared" si="10"/>
        <v>0.1296</v>
      </c>
      <c r="D14" s="63">
        <f t="shared" si="11"/>
        <v>0.4608</v>
      </c>
      <c r="E14" s="64">
        <f t="shared" si="12"/>
        <v>0.4096</v>
      </c>
      <c r="F14" s="20">
        <f t="shared" si="13"/>
        <v>0.1296</v>
      </c>
      <c r="G14" s="21">
        <f t="shared" si="14"/>
        <v>0.4608</v>
      </c>
      <c r="H14" s="22">
        <f t="shared" si="15"/>
        <v>0.4096</v>
      </c>
      <c r="I14" s="49">
        <f t="shared" si="20"/>
        <v>0.1296</v>
      </c>
      <c r="J14" s="50">
        <f t="shared" si="21"/>
        <v>0.4608</v>
      </c>
      <c r="K14" s="51">
        <f t="shared" si="22"/>
        <v>0.4096</v>
      </c>
      <c r="L14" s="77">
        <f t="shared" si="2"/>
        <v>1</v>
      </c>
      <c r="M14" s="86">
        <f t="shared" si="16"/>
        <v>0.36</v>
      </c>
      <c r="N14" s="87">
        <f t="shared" si="17"/>
        <v>0.64</v>
      </c>
      <c r="O14" s="90">
        <f t="shared" si="23"/>
        <v>0.335</v>
      </c>
      <c r="P14" s="91">
        <f t="shared" si="18"/>
        <v>0.665</v>
      </c>
      <c r="Q14" s="4">
        <f t="shared" si="19"/>
        <v>0.7800597559617017</v>
      </c>
      <c r="R14" s="45">
        <f t="shared" si="3"/>
        <v>-1</v>
      </c>
      <c r="S14" s="45">
        <f t="shared" si="4"/>
        <v>-1</v>
      </c>
      <c r="T14" s="45">
        <f t="shared" si="5"/>
        <v>-1</v>
      </c>
      <c r="U14" s="92">
        <f t="shared" si="6"/>
        <v>0.36</v>
      </c>
      <c r="V14" s="92">
        <f t="shared" si="7"/>
        <v>0.64</v>
      </c>
      <c r="W14" s="45">
        <f t="shared" si="8"/>
        <v>-1</v>
      </c>
      <c r="X14" s="44">
        <f t="shared" si="9"/>
        <v>0.001</v>
      </c>
    </row>
    <row r="15" spans="1:24" ht="12.75">
      <c r="A15" s="79">
        <f t="shared" si="0"/>
        <v>12</v>
      </c>
      <c r="B15" s="76">
        <f t="shared" si="1"/>
        <v>100</v>
      </c>
      <c r="C15" s="62">
        <f t="shared" si="10"/>
        <v>0.11222500000000002</v>
      </c>
      <c r="D15" s="63">
        <f t="shared" si="11"/>
        <v>0.44555000000000006</v>
      </c>
      <c r="E15" s="64">
        <f t="shared" si="12"/>
        <v>0.44222500000000003</v>
      </c>
      <c r="F15" s="20">
        <f t="shared" si="13"/>
        <v>0.11222499999999999</v>
      </c>
      <c r="G15" s="21">
        <f t="shared" si="14"/>
        <v>0.44554999999999995</v>
      </c>
      <c r="H15" s="22">
        <f t="shared" si="15"/>
        <v>0.4422249999999999</v>
      </c>
      <c r="I15" s="49">
        <f t="shared" si="20"/>
        <v>0.11222500000000002</v>
      </c>
      <c r="J15" s="50">
        <f t="shared" si="21"/>
        <v>0.44555000000000006</v>
      </c>
      <c r="K15" s="51">
        <f t="shared" si="22"/>
        <v>0.44222500000000003</v>
      </c>
      <c r="L15" s="77">
        <f t="shared" si="2"/>
        <v>1.0000000000000002</v>
      </c>
      <c r="M15" s="86">
        <f t="shared" si="16"/>
        <v>0.3350000000000001</v>
      </c>
      <c r="N15" s="87">
        <f t="shared" si="17"/>
        <v>0.665</v>
      </c>
      <c r="O15" s="90">
        <f aca="true" t="shared" si="24" ref="O15:O37">IF(drift_Q=1,ROUND(2*$B16*MAX(MIN(M15-IF($M15*$N15=0,0,NORMINV($Q15,0,SQRT(2*$M15*$N15*$B16)/(2*$B16))),1),0),0)/(2*$B16),M15)</f>
        <v>0.365</v>
      </c>
      <c r="P15" s="91">
        <f t="shared" si="18"/>
        <v>0.635</v>
      </c>
      <c r="Q15" s="4">
        <f t="shared" si="19"/>
        <v>0.17819029987276735</v>
      </c>
      <c r="R15" s="45">
        <f t="shared" si="3"/>
        <v>-1</v>
      </c>
      <c r="S15" s="45">
        <f t="shared" si="4"/>
        <v>-1</v>
      </c>
      <c r="T15" s="45">
        <f t="shared" si="5"/>
        <v>-1</v>
      </c>
      <c r="U15" s="92">
        <f t="shared" si="6"/>
        <v>0.3350000000000001</v>
      </c>
      <c r="V15" s="92">
        <f t="shared" si="7"/>
        <v>0.665</v>
      </c>
      <c r="W15" s="45">
        <f t="shared" si="8"/>
        <v>-1</v>
      </c>
      <c r="X15" s="44">
        <f t="shared" si="9"/>
        <v>0.001</v>
      </c>
    </row>
    <row r="16" spans="1:24" ht="12.75">
      <c r="A16" s="79">
        <f t="shared" si="0"/>
        <v>13</v>
      </c>
      <c r="B16" s="76">
        <f t="shared" si="1"/>
        <v>100</v>
      </c>
      <c r="C16" s="62">
        <f t="shared" si="10"/>
        <v>0.13322499999999998</v>
      </c>
      <c r="D16" s="63">
        <f t="shared" si="11"/>
        <v>0.46355</v>
      </c>
      <c r="E16" s="64">
        <f t="shared" si="12"/>
        <v>0.403225</v>
      </c>
      <c r="F16" s="20">
        <f t="shared" si="13"/>
        <v>0.13322499999999998</v>
      </c>
      <c r="G16" s="21">
        <f t="shared" si="14"/>
        <v>0.46355</v>
      </c>
      <c r="H16" s="22">
        <f t="shared" si="15"/>
        <v>0.403225</v>
      </c>
      <c r="I16" s="49">
        <f aca="true" t="shared" si="25" ref="I16:I38">($B16*F16+imm_AA)/($B16*SUM($F16:$H16)+imm_AA+imm_AB+imm_BB)</f>
        <v>0.13322499999999998</v>
      </c>
      <c r="J16" s="50">
        <f aca="true" t="shared" si="26" ref="J16:J38">($B16*G16+imm_AB)/($B16*SUM($F16:$H16)+imm_AA+imm_AB+imm_BB)</f>
        <v>0.46355</v>
      </c>
      <c r="K16" s="51">
        <f aca="true" t="shared" si="27" ref="K16:K38">($B16*H16+imm_BB)/($B16*SUM($F16:$H16)+imm_AA+imm_AB+imm_BB)</f>
        <v>0.403225</v>
      </c>
      <c r="L16" s="77">
        <f t="shared" si="2"/>
        <v>1</v>
      </c>
      <c r="M16" s="86">
        <f t="shared" si="16"/>
        <v>0.365</v>
      </c>
      <c r="N16" s="87">
        <f t="shared" si="17"/>
        <v>0.635</v>
      </c>
      <c r="O16" s="90">
        <f t="shared" si="24"/>
        <v>0.39</v>
      </c>
      <c r="P16" s="91">
        <f t="shared" si="18"/>
        <v>0.61</v>
      </c>
      <c r="Q16" s="4">
        <f t="shared" si="19"/>
        <v>0.2182620504481747</v>
      </c>
      <c r="R16" s="45">
        <f t="shared" si="3"/>
        <v>-1</v>
      </c>
      <c r="S16" s="45">
        <f t="shared" si="4"/>
        <v>-1</v>
      </c>
      <c r="T16" s="45">
        <f t="shared" si="5"/>
        <v>-1</v>
      </c>
      <c r="U16" s="92">
        <f t="shared" si="6"/>
        <v>0.365</v>
      </c>
      <c r="V16" s="92">
        <f t="shared" si="7"/>
        <v>0.635</v>
      </c>
      <c r="W16" s="45">
        <f t="shared" si="8"/>
        <v>-1</v>
      </c>
      <c r="X16" s="44">
        <f t="shared" si="9"/>
        <v>0.001</v>
      </c>
    </row>
    <row r="17" spans="1:24" ht="12.75">
      <c r="A17" s="79">
        <f t="shared" si="0"/>
        <v>14</v>
      </c>
      <c r="B17" s="76">
        <f t="shared" si="1"/>
        <v>100</v>
      </c>
      <c r="C17" s="62">
        <f t="shared" si="10"/>
        <v>0.1521</v>
      </c>
      <c r="D17" s="63">
        <f t="shared" si="11"/>
        <v>0.4758</v>
      </c>
      <c r="E17" s="64">
        <f t="shared" si="12"/>
        <v>0.3721</v>
      </c>
      <c r="F17" s="20">
        <f t="shared" si="13"/>
        <v>0.1521</v>
      </c>
      <c r="G17" s="21">
        <f t="shared" si="14"/>
        <v>0.4758</v>
      </c>
      <c r="H17" s="22">
        <f t="shared" si="15"/>
        <v>0.3721</v>
      </c>
      <c r="I17" s="49">
        <f t="shared" si="25"/>
        <v>0.1521</v>
      </c>
      <c r="J17" s="50">
        <f t="shared" si="26"/>
        <v>0.4758</v>
      </c>
      <c r="K17" s="51">
        <f t="shared" si="27"/>
        <v>0.3721</v>
      </c>
      <c r="L17" s="77">
        <f t="shared" si="2"/>
        <v>1</v>
      </c>
      <c r="M17" s="86">
        <f t="shared" si="16"/>
        <v>0.39</v>
      </c>
      <c r="N17" s="87">
        <f t="shared" si="17"/>
        <v>0.61</v>
      </c>
      <c r="O17" s="90">
        <f t="shared" si="24"/>
        <v>0.365</v>
      </c>
      <c r="P17" s="91">
        <f t="shared" si="18"/>
        <v>0.635</v>
      </c>
      <c r="Q17" s="4">
        <f t="shared" si="19"/>
        <v>0.7629244515237588</v>
      </c>
      <c r="R17" s="45">
        <f t="shared" si="3"/>
        <v>-1</v>
      </c>
      <c r="S17" s="45">
        <f t="shared" si="4"/>
        <v>-1</v>
      </c>
      <c r="T17" s="45">
        <f t="shared" si="5"/>
        <v>-1</v>
      </c>
      <c r="U17" s="92">
        <f t="shared" si="6"/>
        <v>0.39</v>
      </c>
      <c r="V17" s="92">
        <f t="shared" si="7"/>
        <v>0.61</v>
      </c>
      <c r="W17" s="45">
        <f t="shared" si="8"/>
        <v>-1</v>
      </c>
      <c r="X17" s="44">
        <f t="shared" si="9"/>
        <v>0.001</v>
      </c>
    </row>
    <row r="18" spans="1:24" ht="12.75">
      <c r="A18" s="79">
        <f t="shared" si="0"/>
        <v>15</v>
      </c>
      <c r="B18" s="76">
        <f t="shared" si="1"/>
        <v>100</v>
      </c>
      <c r="C18" s="62">
        <f t="shared" si="10"/>
        <v>0.13322499999999998</v>
      </c>
      <c r="D18" s="63">
        <f t="shared" si="11"/>
        <v>0.46355</v>
      </c>
      <c r="E18" s="64">
        <f t="shared" si="12"/>
        <v>0.403225</v>
      </c>
      <c r="F18" s="20">
        <f t="shared" si="13"/>
        <v>0.13322499999999998</v>
      </c>
      <c r="G18" s="21">
        <f t="shared" si="14"/>
        <v>0.46355</v>
      </c>
      <c r="H18" s="22">
        <f t="shared" si="15"/>
        <v>0.403225</v>
      </c>
      <c r="I18" s="49">
        <f t="shared" si="25"/>
        <v>0.13322499999999998</v>
      </c>
      <c r="J18" s="50">
        <f t="shared" si="26"/>
        <v>0.46355</v>
      </c>
      <c r="K18" s="51">
        <f t="shared" si="27"/>
        <v>0.403225</v>
      </c>
      <c r="L18" s="77">
        <f t="shared" si="2"/>
        <v>1</v>
      </c>
      <c r="M18" s="86">
        <f t="shared" si="16"/>
        <v>0.365</v>
      </c>
      <c r="N18" s="87">
        <f t="shared" si="17"/>
        <v>0.635</v>
      </c>
      <c r="O18" s="90">
        <f t="shared" si="24"/>
        <v>0.325</v>
      </c>
      <c r="P18" s="91">
        <f t="shared" si="18"/>
        <v>0.675</v>
      </c>
      <c r="Q18" s="4">
        <f t="shared" si="19"/>
        <v>0.892365414834785</v>
      </c>
      <c r="R18" s="45">
        <f t="shared" si="3"/>
        <v>-1</v>
      </c>
      <c r="S18" s="45">
        <f t="shared" si="4"/>
        <v>-1</v>
      </c>
      <c r="T18" s="45">
        <f t="shared" si="5"/>
        <v>-1</v>
      </c>
      <c r="U18" s="92">
        <f t="shared" si="6"/>
        <v>0.365</v>
      </c>
      <c r="V18" s="92">
        <f t="shared" si="7"/>
        <v>0.635</v>
      </c>
      <c r="W18" s="45">
        <f t="shared" si="8"/>
        <v>-1</v>
      </c>
      <c r="X18" s="44">
        <f t="shared" si="9"/>
        <v>0.001</v>
      </c>
    </row>
    <row r="19" spans="1:24" ht="12.75">
      <c r="A19" s="79">
        <f t="shared" si="0"/>
        <v>16</v>
      </c>
      <c r="B19" s="76">
        <f t="shared" si="1"/>
        <v>100</v>
      </c>
      <c r="C19" s="62">
        <f t="shared" si="10"/>
        <v>0.10562500000000001</v>
      </c>
      <c r="D19" s="63">
        <f t="shared" si="11"/>
        <v>0.43875000000000003</v>
      </c>
      <c r="E19" s="64">
        <f t="shared" si="12"/>
        <v>0.45562500000000006</v>
      </c>
      <c r="F19" s="20">
        <f t="shared" si="13"/>
        <v>0.10562500000000001</v>
      </c>
      <c r="G19" s="21">
        <f t="shared" si="14"/>
        <v>0.43875000000000003</v>
      </c>
      <c r="H19" s="22">
        <f t="shared" si="15"/>
        <v>0.45562500000000006</v>
      </c>
      <c r="I19" s="49">
        <f t="shared" si="25"/>
        <v>0.10562500000000002</v>
      </c>
      <c r="J19" s="50">
        <f t="shared" si="26"/>
        <v>0.43875</v>
      </c>
      <c r="K19" s="51">
        <f t="shared" si="27"/>
        <v>0.45562500000000006</v>
      </c>
      <c r="L19" s="77">
        <f t="shared" si="2"/>
        <v>1</v>
      </c>
      <c r="M19" s="86">
        <f t="shared" si="16"/>
        <v>0.325</v>
      </c>
      <c r="N19" s="87">
        <f t="shared" si="17"/>
        <v>0.675</v>
      </c>
      <c r="O19" s="90">
        <f t="shared" si="24"/>
        <v>0.36</v>
      </c>
      <c r="P19" s="91">
        <f t="shared" si="18"/>
        <v>0.64</v>
      </c>
      <c r="Q19" s="4">
        <f t="shared" si="19"/>
        <v>0.13206609242479317</v>
      </c>
      <c r="R19" s="45">
        <f t="shared" si="3"/>
        <v>-1</v>
      </c>
      <c r="S19" s="45">
        <f t="shared" si="4"/>
        <v>-1</v>
      </c>
      <c r="T19" s="45">
        <f t="shared" si="5"/>
        <v>-1</v>
      </c>
      <c r="U19" s="92">
        <f t="shared" si="6"/>
        <v>0.325</v>
      </c>
      <c r="V19" s="92">
        <f t="shared" si="7"/>
        <v>0.675</v>
      </c>
      <c r="W19" s="45">
        <f t="shared" si="8"/>
        <v>-1</v>
      </c>
      <c r="X19" s="44">
        <f t="shared" si="9"/>
        <v>0.001</v>
      </c>
    </row>
    <row r="20" spans="1:24" ht="12.75">
      <c r="A20" s="79">
        <f t="shared" si="0"/>
        <v>17</v>
      </c>
      <c r="B20" s="76">
        <f t="shared" si="1"/>
        <v>100</v>
      </c>
      <c r="C20" s="62">
        <f t="shared" si="10"/>
        <v>0.1296</v>
      </c>
      <c r="D20" s="63">
        <f t="shared" si="11"/>
        <v>0.4608</v>
      </c>
      <c r="E20" s="64">
        <f t="shared" si="12"/>
        <v>0.4096</v>
      </c>
      <c r="F20" s="20">
        <f t="shared" si="13"/>
        <v>0.1296</v>
      </c>
      <c r="G20" s="21">
        <f t="shared" si="14"/>
        <v>0.4608</v>
      </c>
      <c r="H20" s="22">
        <f t="shared" si="15"/>
        <v>0.4096</v>
      </c>
      <c r="I20" s="49">
        <f t="shared" si="25"/>
        <v>0.1296</v>
      </c>
      <c r="J20" s="50">
        <f t="shared" si="26"/>
        <v>0.4608</v>
      </c>
      <c r="K20" s="51">
        <f t="shared" si="27"/>
        <v>0.4096</v>
      </c>
      <c r="L20" s="77">
        <f t="shared" si="2"/>
        <v>1</v>
      </c>
      <c r="M20" s="86">
        <f t="shared" si="16"/>
        <v>0.36</v>
      </c>
      <c r="N20" s="87">
        <f t="shared" si="17"/>
        <v>0.64</v>
      </c>
      <c r="O20" s="90">
        <f t="shared" si="24"/>
        <v>0.385</v>
      </c>
      <c r="P20" s="91">
        <f t="shared" si="18"/>
        <v>0.615</v>
      </c>
      <c r="Q20" s="4">
        <f t="shared" si="19"/>
        <v>0.23242070389369474</v>
      </c>
      <c r="R20" s="45">
        <f t="shared" si="3"/>
        <v>-1</v>
      </c>
      <c r="S20" s="45">
        <f t="shared" si="4"/>
        <v>-1</v>
      </c>
      <c r="T20" s="45">
        <f t="shared" si="5"/>
        <v>-1</v>
      </c>
      <c r="U20" s="92">
        <f t="shared" si="6"/>
        <v>0.36</v>
      </c>
      <c r="V20" s="92">
        <f t="shared" si="7"/>
        <v>0.64</v>
      </c>
      <c r="W20" s="45">
        <f t="shared" si="8"/>
        <v>-1</v>
      </c>
      <c r="X20" s="44">
        <f t="shared" si="9"/>
        <v>0.001</v>
      </c>
    </row>
    <row r="21" spans="1:24" ht="12.75">
      <c r="A21" s="79">
        <f t="shared" si="0"/>
        <v>18</v>
      </c>
      <c r="B21" s="76">
        <f>N</f>
        <v>100</v>
      </c>
      <c r="C21" s="62">
        <f t="shared" si="10"/>
        <v>0.148225</v>
      </c>
      <c r="D21" s="63">
        <f t="shared" si="11"/>
        <v>0.47355</v>
      </c>
      <c r="E21" s="64">
        <f t="shared" si="12"/>
        <v>0.378225</v>
      </c>
      <c r="F21" s="20">
        <f t="shared" si="13"/>
        <v>0.148225</v>
      </c>
      <c r="G21" s="21">
        <f t="shared" si="14"/>
        <v>0.47355</v>
      </c>
      <c r="H21" s="22">
        <f t="shared" si="15"/>
        <v>0.378225</v>
      </c>
      <c r="I21" s="49">
        <f t="shared" si="25"/>
        <v>0.148225</v>
      </c>
      <c r="J21" s="50">
        <f t="shared" si="26"/>
        <v>0.47355</v>
      </c>
      <c r="K21" s="51">
        <f t="shared" si="27"/>
        <v>0.378225</v>
      </c>
      <c r="L21" s="77">
        <f t="shared" si="2"/>
        <v>1</v>
      </c>
      <c r="M21" s="86">
        <f t="shared" si="16"/>
        <v>0.385</v>
      </c>
      <c r="N21" s="87">
        <f t="shared" si="17"/>
        <v>0.615</v>
      </c>
      <c r="O21" s="90">
        <f t="shared" si="24"/>
        <v>0.355</v>
      </c>
      <c r="P21" s="91">
        <f t="shared" si="18"/>
        <v>0.645</v>
      </c>
      <c r="Q21" s="4">
        <f t="shared" si="19"/>
        <v>0.8150599399759813</v>
      </c>
      <c r="R21" s="45">
        <f t="shared" si="3"/>
        <v>-1</v>
      </c>
      <c r="S21" s="45">
        <f t="shared" si="4"/>
        <v>-1</v>
      </c>
      <c r="T21" s="45">
        <f t="shared" si="5"/>
        <v>-1</v>
      </c>
      <c r="U21" s="92">
        <f t="shared" si="6"/>
        <v>0.385</v>
      </c>
      <c r="V21" s="92">
        <f t="shared" si="7"/>
        <v>0.615</v>
      </c>
      <c r="W21" s="45">
        <f t="shared" si="8"/>
        <v>-1</v>
      </c>
      <c r="X21" s="44">
        <f t="shared" si="9"/>
        <v>0.001</v>
      </c>
    </row>
    <row r="22" spans="1:24" ht="12.75">
      <c r="A22" s="79">
        <f t="shared" si="0"/>
        <v>19</v>
      </c>
      <c r="B22" s="76">
        <f aca="true" t="shared" si="28" ref="B22:B37">N</f>
        <v>100</v>
      </c>
      <c r="C22" s="62">
        <f t="shared" si="10"/>
        <v>0.126025</v>
      </c>
      <c r="D22" s="63">
        <f t="shared" si="11"/>
        <v>0.45794999999999997</v>
      </c>
      <c r="E22" s="64">
        <f t="shared" si="12"/>
        <v>0.41602500000000003</v>
      </c>
      <c r="F22" s="20">
        <f t="shared" si="13"/>
        <v>0.126025</v>
      </c>
      <c r="G22" s="21">
        <f t="shared" si="14"/>
        <v>0.45794999999999997</v>
      </c>
      <c r="H22" s="22">
        <f t="shared" si="15"/>
        <v>0.41602500000000003</v>
      </c>
      <c r="I22" s="49">
        <f t="shared" si="25"/>
        <v>0.126025</v>
      </c>
      <c r="J22" s="50">
        <f t="shared" si="26"/>
        <v>0.45794999999999997</v>
      </c>
      <c r="K22" s="51">
        <f t="shared" si="27"/>
        <v>0.4160250000000001</v>
      </c>
      <c r="L22" s="77">
        <f t="shared" si="2"/>
        <v>1</v>
      </c>
      <c r="M22" s="86">
        <f t="shared" si="16"/>
        <v>0.355</v>
      </c>
      <c r="N22" s="87">
        <f t="shared" si="17"/>
        <v>0.645</v>
      </c>
      <c r="O22" s="90">
        <f t="shared" si="24"/>
        <v>0.31</v>
      </c>
      <c r="P22" s="91">
        <f t="shared" si="18"/>
        <v>0.69</v>
      </c>
      <c r="Q22" s="4">
        <f t="shared" si="19"/>
        <v>0.9149975041118523</v>
      </c>
      <c r="R22" s="45">
        <f t="shared" si="3"/>
        <v>-1</v>
      </c>
      <c r="S22" s="45">
        <f t="shared" si="4"/>
        <v>-1</v>
      </c>
      <c r="T22" s="45">
        <f t="shared" si="5"/>
        <v>-1</v>
      </c>
      <c r="U22" s="92">
        <f t="shared" si="6"/>
        <v>0.355</v>
      </c>
      <c r="V22" s="92">
        <f t="shared" si="7"/>
        <v>0.645</v>
      </c>
      <c r="W22" s="45">
        <f t="shared" si="8"/>
        <v>-1</v>
      </c>
      <c r="X22" s="44">
        <f t="shared" si="9"/>
        <v>0.001</v>
      </c>
    </row>
    <row r="23" spans="1:24" ht="12.75">
      <c r="A23" s="79">
        <f t="shared" si="0"/>
        <v>20</v>
      </c>
      <c r="B23" s="76">
        <f t="shared" si="28"/>
        <v>100</v>
      </c>
      <c r="C23" s="62">
        <f t="shared" si="10"/>
        <v>0.0961</v>
      </c>
      <c r="D23" s="63">
        <f t="shared" si="11"/>
        <v>0.42779999999999996</v>
      </c>
      <c r="E23" s="64">
        <f t="shared" si="12"/>
        <v>0.4760999999999999</v>
      </c>
      <c r="F23" s="20">
        <f t="shared" si="13"/>
        <v>0.09610000000000003</v>
      </c>
      <c r="G23" s="21">
        <f t="shared" si="14"/>
        <v>0.42780000000000007</v>
      </c>
      <c r="H23" s="22">
        <f t="shared" si="15"/>
        <v>0.4761</v>
      </c>
      <c r="I23" s="49">
        <f t="shared" si="25"/>
        <v>0.0961</v>
      </c>
      <c r="J23" s="50">
        <f t="shared" si="26"/>
        <v>0.42779999999999996</v>
      </c>
      <c r="K23" s="51">
        <f t="shared" si="27"/>
        <v>0.47609999999999986</v>
      </c>
      <c r="L23" s="77">
        <f t="shared" si="2"/>
        <v>0.9999999999999998</v>
      </c>
      <c r="M23" s="86">
        <f t="shared" si="16"/>
        <v>0.31</v>
      </c>
      <c r="N23" s="87">
        <f t="shared" si="17"/>
        <v>0.6899999999999998</v>
      </c>
      <c r="O23" s="90">
        <f t="shared" si="24"/>
        <v>0.32</v>
      </c>
      <c r="P23" s="91">
        <f t="shared" si="18"/>
        <v>0.6799999999999999</v>
      </c>
      <c r="Q23" s="4">
        <f t="shared" si="19"/>
        <v>0.40181488250163966</v>
      </c>
      <c r="R23" s="45">
        <f t="shared" si="3"/>
        <v>-1</v>
      </c>
      <c r="S23" s="45">
        <f t="shared" si="4"/>
        <v>-1</v>
      </c>
      <c r="T23" s="45">
        <f t="shared" si="5"/>
        <v>-1</v>
      </c>
      <c r="U23" s="92">
        <f t="shared" si="6"/>
        <v>0.31</v>
      </c>
      <c r="V23" s="92">
        <f t="shared" si="7"/>
        <v>0.6899999999999998</v>
      </c>
      <c r="W23" s="45">
        <f t="shared" si="8"/>
        <v>-1</v>
      </c>
      <c r="X23" s="44">
        <f t="shared" si="9"/>
        <v>0.001</v>
      </c>
    </row>
    <row r="24" spans="1:24" ht="12.75">
      <c r="A24" s="79">
        <f t="shared" si="0"/>
        <v>21</v>
      </c>
      <c r="B24" s="76">
        <f t="shared" si="28"/>
        <v>100</v>
      </c>
      <c r="C24" s="62">
        <f t="shared" si="10"/>
        <v>0.1024</v>
      </c>
      <c r="D24" s="63">
        <f t="shared" si="11"/>
        <v>0.4352</v>
      </c>
      <c r="E24" s="64">
        <f t="shared" si="12"/>
        <v>0.4623999999999999</v>
      </c>
      <c r="F24" s="20">
        <f t="shared" si="13"/>
        <v>0.10240000000000002</v>
      </c>
      <c r="G24" s="21">
        <f t="shared" si="14"/>
        <v>0.43520000000000003</v>
      </c>
      <c r="H24" s="22">
        <f t="shared" si="15"/>
        <v>0.4624</v>
      </c>
      <c r="I24" s="49">
        <f t="shared" si="25"/>
        <v>0.10240000000000002</v>
      </c>
      <c r="J24" s="50">
        <f t="shared" si="26"/>
        <v>0.43520000000000003</v>
      </c>
      <c r="K24" s="51">
        <f t="shared" si="27"/>
        <v>0.4623999999999999</v>
      </c>
      <c r="L24" s="77">
        <f t="shared" si="2"/>
        <v>1</v>
      </c>
      <c r="M24" s="86">
        <f t="shared" si="16"/>
        <v>0.32000000000000006</v>
      </c>
      <c r="N24" s="87">
        <f t="shared" si="17"/>
        <v>0.6799999999999999</v>
      </c>
      <c r="O24" s="90">
        <f t="shared" si="24"/>
        <v>0.325</v>
      </c>
      <c r="P24" s="91">
        <f t="shared" si="18"/>
        <v>0.675</v>
      </c>
      <c r="Q24" s="4">
        <f t="shared" si="19"/>
        <v>0.4352880486030699</v>
      </c>
      <c r="R24" s="45">
        <f t="shared" si="3"/>
        <v>-1</v>
      </c>
      <c r="S24" s="45">
        <f t="shared" si="4"/>
        <v>-1</v>
      </c>
      <c r="T24" s="45">
        <f t="shared" si="5"/>
        <v>-1</v>
      </c>
      <c r="U24" s="92">
        <f t="shared" si="6"/>
        <v>0.32000000000000006</v>
      </c>
      <c r="V24" s="92">
        <f t="shared" si="7"/>
        <v>0.6799999999999999</v>
      </c>
      <c r="W24" s="45">
        <f t="shared" si="8"/>
        <v>-1</v>
      </c>
      <c r="X24" s="44">
        <f t="shared" si="9"/>
        <v>0.001</v>
      </c>
    </row>
    <row r="25" spans="1:24" ht="12.75">
      <c r="A25" s="79">
        <f t="shared" si="0"/>
        <v>22</v>
      </c>
      <c r="B25" s="76">
        <f t="shared" si="28"/>
        <v>100</v>
      </c>
      <c r="C25" s="62">
        <f t="shared" si="10"/>
        <v>0.10562500000000001</v>
      </c>
      <c r="D25" s="63">
        <f t="shared" si="11"/>
        <v>0.43875000000000003</v>
      </c>
      <c r="E25" s="64">
        <f t="shared" si="12"/>
        <v>0.45562500000000006</v>
      </c>
      <c r="F25" s="20">
        <f t="shared" si="13"/>
        <v>0.10562500000000001</v>
      </c>
      <c r="G25" s="21">
        <f t="shared" si="14"/>
        <v>0.43875000000000003</v>
      </c>
      <c r="H25" s="22">
        <f t="shared" si="15"/>
        <v>0.45562500000000006</v>
      </c>
      <c r="I25" s="49">
        <f t="shared" si="25"/>
        <v>0.10562500000000002</v>
      </c>
      <c r="J25" s="50">
        <f t="shared" si="26"/>
        <v>0.43875</v>
      </c>
      <c r="K25" s="51">
        <f t="shared" si="27"/>
        <v>0.45562500000000006</v>
      </c>
      <c r="L25" s="77">
        <f t="shared" si="2"/>
        <v>1</v>
      </c>
      <c r="M25" s="86">
        <f t="shared" si="16"/>
        <v>0.325</v>
      </c>
      <c r="N25" s="87">
        <f t="shared" si="17"/>
        <v>0.675</v>
      </c>
      <c r="O25" s="90">
        <f t="shared" si="24"/>
        <v>0.355</v>
      </c>
      <c r="P25" s="91">
        <f t="shared" si="18"/>
        <v>0.645</v>
      </c>
      <c r="Q25" s="4">
        <f t="shared" si="19"/>
        <v>0.17525233074957214</v>
      </c>
      <c r="R25" s="45">
        <f t="shared" si="3"/>
        <v>-1</v>
      </c>
      <c r="S25" s="45">
        <f t="shared" si="4"/>
        <v>-1</v>
      </c>
      <c r="T25" s="45">
        <f t="shared" si="5"/>
        <v>-1</v>
      </c>
      <c r="U25" s="92">
        <f t="shared" si="6"/>
        <v>0.325</v>
      </c>
      <c r="V25" s="92">
        <f t="shared" si="7"/>
        <v>0.675</v>
      </c>
      <c r="W25" s="45">
        <f t="shared" si="8"/>
        <v>-1</v>
      </c>
      <c r="X25" s="44">
        <f t="shared" si="9"/>
        <v>0.001</v>
      </c>
    </row>
    <row r="26" spans="1:24" ht="12.75">
      <c r="A26" s="79">
        <f t="shared" si="0"/>
        <v>23</v>
      </c>
      <c r="B26" s="76">
        <f t="shared" si="28"/>
        <v>100</v>
      </c>
      <c r="C26" s="62">
        <f t="shared" si="10"/>
        <v>0.126025</v>
      </c>
      <c r="D26" s="63">
        <f t="shared" si="11"/>
        <v>0.45794999999999997</v>
      </c>
      <c r="E26" s="64">
        <f t="shared" si="12"/>
        <v>0.41602500000000003</v>
      </c>
      <c r="F26" s="20">
        <f t="shared" si="13"/>
        <v>0.126025</v>
      </c>
      <c r="G26" s="21">
        <f t="shared" si="14"/>
        <v>0.45794999999999997</v>
      </c>
      <c r="H26" s="22">
        <f t="shared" si="15"/>
        <v>0.41602500000000003</v>
      </c>
      <c r="I26" s="49">
        <f t="shared" si="25"/>
        <v>0.126025</v>
      </c>
      <c r="J26" s="50">
        <f t="shared" si="26"/>
        <v>0.45794999999999997</v>
      </c>
      <c r="K26" s="51">
        <f t="shared" si="27"/>
        <v>0.4160250000000001</v>
      </c>
      <c r="L26" s="77">
        <f t="shared" si="2"/>
        <v>1</v>
      </c>
      <c r="M26" s="86">
        <f t="shared" si="16"/>
        <v>0.355</v>
      </c>
      <c r="N26" s="87">
        <f t="shared" si="17"/>
        <v>0.645</v>
      </c>
      <c r="O26" s="90">
        <f t="shared" si="24"/>
        <v>0.365</v>
      </c>
      <c r="P26" s="91">
        <f t="shared" si="18"/>
        <v>0.635</v>
      </c>
      <c r="Q26" s="4">
        <f t="shared" si="19"/>
        <v>0.3644672915479532</v>
      </c>
      <c r="R26" s="45">
        <f t="shared" si="3"/>
        <v>-1</v>
      </c>
      <c r="S26" s="45">
        <f t="shared" si="4"/>
        <v>-1</v>
      </c>
      <c r="T26" s="45">
        <f t="shared" si="5"/>
        <v>-1</v>
      </c>
      <c r="U26" s="92">
        <f t="shared" si="6"/>
        <v>0.355</v>
      </c>
      <c r="V26" s="92">
        <f t="shared" si="7"/>
        <v>0.645</v>
      </c>
      <c r="W26" s="45">
        <f t="shared" si="8"/>
        <v>-1</v>
      </c>
      <c r="X26" s="44">
        <f t="shared" si="9"/>
        <v>0.001</v>
      </c>
    </row>
    <row r="27" spans="1:24" ht="12.75">
      <c r="A27" s="79">
        <f t="shared" si="0"/>
        <v>24</v>
      </c>
      <c r="B27" s="76">
        <f t="shared" si="28"/>
        <v>100</v>
      </c>
      <c r="C27" s="62">
        <f t="shared" si="10"/>
        <v>0.13322499999999998</v>
      </c>
      <c r="D27" s="63">
        <f t="shared" si="11"/>
        <v>0.46355</v>
      </c>
      <c r="E27" s="64">
        <f t="shared" si="12"/>
        <v>0.403225</v>
      </c>
      <c r="F27" s="20">
        <f t="shared" si="13"/>
        <v>0.13322499999999998</v>
      </c>
      <c r="G27" s="21">
        <f t="shared" si="14"/>
        <v>0.46355</v>
      </c>
      <c r="H27" s="22">
        <f t="shared" si="15"/>
        <v>0.403225</v>
      </c>
      <c r="I27" s="49">
        <f t="shared" si="25"/>
        <v>0.13322499999999998</v>
      </c>
      <c r="J27" s="50">
        <f t="shared" si="26"/>
        <v>0.46355</v>
      </c>
      <c r="K27" s="51">
        <f t="shared" si="27"/>
        <v>0.403225</v>
      </c>
      <c r="L27" s="77">
        <f t="shared" si="2"/>
        <v>1</v>
      </c>
      <c r="M27" s="86">
        <f t="shared" si="16"/>
        <v>0.365</v>
      </c>
      <c r="N27" s="87">
        <f t="shared" si="17"/>
        <v>0.635</v>
      </c>
      <c r="O27" s="90">
        <f t="shared" si="24"/>
        <v>0.35</v>
      </c>
      <c r="P27" s="91">
        <f t="shared" si="18"/>
        <v>0.65</v>
      </c>
      <c r="Q27" s="4">
        <f t="shared" si="19"/>
        <v>0.6445972924484522</v>
      </c>
      <c r="R27" s="45">
        <f t="shared" si="3"/>
        <v>-1</v>
      </c>
      <c r="S27" s="45">
        <f t="shared" si="4"/>
        <v>-1</v>
      </c>
      <c r="T27" s="45">
        <f t="shared" si="5"/>
        <v>-1</v>
      </c>
      <c r="U27" s="92">
        <f t="shared" si="6"/>
        <v>0.365</v>
      </c>
      <c r="V27" s="92">
        <f t="shared" si="7"/>
        <v>0.635</v>
      </c>
      <c r="W27" s="45">
        <f t="shared" si="8"/>
        <v>-1</v>
      </c>
      <c r="X27" s="44">
        <f t="shared" si="9"/>
        <v>0.001</v>
      </c>
    </row>
    <row r="28" spans="1:24" ht="12.75">
      <c r="A28" s="79">
        <f t="shared" si="0"/>
        <v>25</v>
      </c>
      <c r="B28" s="76">
        <f t="shared" si="28"/>
        <v>100</v>
      </c>
      <c r="C28" s="62">
        <f t="shared" si="10"/>
        <v>0.12249999999999998</v>
      </c>
      <c r="D28" s="63">
        <f t="shared" si="11"/>
        <v>0.45499999999999996</v>
      </c>
      <c r="E28" s="64">
        <f t="shared" si="12"/>
        <v>0.42250000000000004</v>
      </c>
      <c r="F28" s="20">
        <f t="shared" si="13"/>
        <v>0.12249999999999998</v>
      </c>
      <c r="G28" s="21">
        <f t="shared" si="14"/>
        <v>0.45499999999999996</v>
      </c>
      <c r="H28" s="22">
        <f t="shared" si="15"/>
        <v>0.42250000000000004</v>
      </c>
      <c r="I28" s="49">
        <f t="shared" si="25"/>
        <v>0.12249999999999998</v>
      </c>
      <c r="J28" s="50">
        <f t="shared" si="26"/>
        <v>0.4549999999999999</v>
      </c>
      <c r="K28" s="51">
        <f t="shared" si="27"/>
        <v>0.4225000000000001</v>
      </c>
      <c r="L28" s="77">
        <f t="shared" si="2"/>
        <v>1</v>
      </c>
      <c r="M28" s="86">
        <f t="shared" si="16"/>
        <v>0.3499999999999999</v>
      </c>
      <c r="N28" s="87">
        <f t="shared" si="17"/>
        <v>0.65</v>
      </c>
      <c r="O28" s="90">
        <f t="shared" si="24"/>
        <v>0.32</v>
      </c>
      <c r="P28" s="91">
        <f t="shared" si="18"/>
        <v>0.6799999999999999</v>
      </c>
      <c r="Q28" s="4">
        <f t="shared" si="19"/>
        <v>0.8013361362491196</v>
      </c>
      <c r="R28" s="45">
        <f t="shared" si="3"/>
        <v>-1</v>
      </c>
      <c r="S28" s="45">
        <f t="shared" si="4"/>
        <v>-1</v>
      </c>
      <c r="T28" s="45">
        <f t="shared" si="5"/>
        <v>-1</v>
      </c>
      <c r="U28" s="92">
        <f t="shared" si="6"/>
        <v>0.3499999999999999</v>
      </c>
      <c r="V28" s="92">
        <f t="shared" si="7"/>
        <v>0.65</v>
      </c>
      <c r="W28" s="45">
        <f t="shared" si="8"/>
        <v>-1</v>
      </c>
      <c r="X28" s="44">
        <f t="shared" si="9"/>
        <v>0.001</v>
      </c>
    </row>
    <row r="29" spans="1:24" ht="12.75">
      <c r="A29" s="79">
        <f t="shared" si="0"/>
        <v>26</v>
      </c>
      <c r="B29" s="76">
        <f t="shared" si="28"/>
        <v>100</v>
      </c>
      <c r="C29" s="62">
        <f t="shared" si="10"/>
        <v>0.1024</v>
      </c>
      <c r="D29" s="63">
        <f t="shared" si="11"/>
        <v>0.4352</v>
      </c>
      <c r="E29" s="64">
        <f t="shared" si="12"/>
        <v>0.4623999999999999</v>
      </c>
      <c r="F29" s="20">
        <f t="shared" si="13"/>
        <v>0.10240000000000002</v>
      </c>
      <c r="G29" s="21">
        <f t="shared" si="14"/>
        <v>0.43520000000000003</v>
      </c>
      <c r="H29" s="22">
        <f t="shared" si="15"/>
        <v>0.4624</v>
      </c>
      <c r="I29" s="49">
        <f t="shared" si="25"/>
        <v>0.10240000000000002</v>
      </c>
      <c r="J29" s="50">
        <f t="shared" si="26"/>
        <v>0.43520000000000003</v>
      </c>
      <c r="K29" s="51">
        <f t="shared" si="27"/>
        <v>0.4623999999999999</v>
      </c>
      <c r="L29" s="77">
        <f t="shared" si="2"/>
        <v>1</v>
      </c>
      <c r="M29" s="86">
        <f t="shared" si="16"/>
        <v>0.32000000000000006</v>
      </c>
      <c r="N29" s="87">
        <f t="shared" si="17"/>
        <v>0.6799999999999999</v>
      </c>
      <c r="O29" s="90">
        <f t="shared" si="24"/>
        <v>0.355</v>
      </c>
      <c r="P29" s="91">
        <f t="shared" si="18"/>
        <v>0.645</v>
      </c>
      <c r="Q29" s="4">
        <f t="shared" si="19"/>
        <v>0.13352110260348127</v>
      </c>
      <c r="R29" s="45">
        <f t="shared" si="3"/>
        <v>-1</v>
      </c>
      <c r="S29" s="45">
        <f t="shared" si="4"/>
        <v>-1</v>
      </c>
      <c r="T29" s="45">
        <f t="shared" si="5"/>
        <v>-1</v>
      </c>
      <c r="U29" s="92">
        <f t="shared" si="6"/>
        <v>0.32000000000000006</v>
      </c>
      <c r="V29" s="92">
        <f t="shared" si="7"/>
        <v>0.6799999999999999</v>
      </c>
      <c r="W29" s="45">
        <f t="shared" si="8"/>
        <v>-1</v>
      </c>
      <c r="X29" s="44">
        <f t="shared" si="9"/>
        <v>0.001</v>
      </c>
    </row>
    <row r="30" spans="1:24" ht="12.75">
      <c r="A30" s="79">
        <f t="shared" si="0"/>
        <v>27</v>
      </c>
      <c r="B30" s="76">
        <f t="shared" si="28"/>
        <v>100</v>
      </c>
      <c r="C30" s="62">
        <f t="shared" si="10"/>
        <v>0.126025</v>
      </c>
      <c r="D30" s="63">
        <f t="shared" si="11"/>
        <v>0.45794999999999997</v>
      </c>
      <c r="E30" s="64">
        <f t="shared" si="12"/>
        <v>0.41602500000000003</v>
      </c>
      <c r="F30" s="20">
        <f t="shared" si="13"/>
        <v>0.126025</v>
      </c>
      <c r="G30" s="21">
        <f t="shared" si="14"/>
        <v>0.45794999999999997</v>
      </c>
      <c r="H30" s="22">
        <f t="shared" si="15"/>
        <v>0.41602500000000003</v>
      </c>
      <c r="I30" s="49">
        <f t="shared" si="25"/>
        <v>0.126025</v>
      </c>
      <c r="J30" s="50">
        <f t="shared" si="26"/>
        <v>0.45794999999999997</v>
      </c>
      <c r="K30" s="51">
        <f t="shared" si="27"/>
        <v>0.4160250000000001</v>
      </c>
      <c r="L30" s="77">
        <f t="shared" si="2"/>
        <v>1</v>
      </c>
      <c r="M30" s="86">
        <f t="shared" si="16"/>
        <v>0.355</v>
      </c>
      <c r="N30" s="87">
        <f t="shared" si="17"/>
        <v>0.645</v>
      </c>
      <c r="O30" s="90">
        <f t="shared" si="24"/>
        <v>0.355</v>
      </c>
      <c r="P30" s="91">
        <f t="shared" si="18"/>
        <v>0.645</v>
      </c>
      <c r="Q30" s="4">
        <f t="shared" si="19"/>
        <v>0.5220756687895118</v>
      </c>
      <c r="R30" s="45">
        <f t="shared" si="3"/>
        <v>-1</v>
      </c>
      <c r="S30" s="45">
        <f t="shared" si="4"/>
        <v>-1</v>
      </c>
      <c r="T30" s="45">
        <f t="shared" si="5"/>
        <v>-1</v>
      </c>
      <c r="U30" s="92">
        <f t="shared" si="6"/>
        <v>0.355</v>
      </c>
      <c r="V30" s="92">
        <f t="shared" si="7"/>
        <v>0.645</v>
      </c>
      <c r="W30" s="45">
        <f t="shared" si="8"/>
        <v>-1</v>
      </c>
      <c r="X30" s="44">
        <f t="shared" si="9"/>
        <v>0.001</v>
      </c>
    </row>
    <row r="31" spans="1:24" ht="12.75">
      <c r="A31" s="79">
        <f t="shared" si="0"/>
        <v>28</v>
      </c>
      <c r="B31" s="76">
        <f t="shared" si="28"/>
        <v>100</v>
      </c>
      <c r="C31" s="62">
        <f t="shared" si="10"/>
        <v>0.126025</v>
      </c>
      <c r="D31" s="63">
        <f t="shared" si="11"/>
        <v>0.45794999999999997</v>
      </c>
      <c r="E31" s="64">
        <f t="shared" si="12"/>
        <v>0.41602500000000003</v>
      </c>
      <c r="F31" s="20">
        <f t="shared" si="13"/>
        <v>0.126025</v>
      </c>
      <c r="G31" s="21">
        <f t="shared" si="14"/>
        <v>0.45794999999999997</v>
      </c>
      <c r="H31" s="22">
        <f t="shared" si="15"/>
        <v>0.41602500000000003</v>
      </c>
      <c r="I31" s="49">
        <f t="shared" si="25"/>
        <v>0.126025</v>
      </c>
      <c r="J31" s="50">
        <f t="shared" si="26"/>
        <v>0.45794999999999997</v>
      </c>
      <c r="K31" s="51">
        <f t="shared" si="27"/>
        <v>0.4160250000000001</v>
      </c>
      <c r="L31" s="77">
        <f t="shared" si="2"/>
        <v>1</v>
      </c>
      <c r="M31" s="86">
        <f t="shared" si="16"/>
        <v>0.355</v>
      </c>
      <c r="N31" s="87">
        <f t="shared" si="17"/>
        <v>0.645</v>
      </c>
      <c r="O31" s="90">
        <f t="shared" si="24"/>
        <v>0.355</v>
      </c>
      <c r="P31" s="91">
        <f t="shared" si="18"/>
        <v>0.645</v>
      </c>
      <c r="Q31" s="4">
        <f t="shared" si="19"/>
        <v>0.5164701817957393</v>
      </c>
      <c r="R31" s="45">
        <f t="shared" si="3"/>
        <v>-1</v>
      </c>
      <c r="S31" s="45">
        <f t="shared" si="4"/>
        <v>-1</v>
      </c>
      <c r="T31" s="45">
        <f t="shared" si="5"/>
        <v>-1</v>
      </c>
      <c r="U31" s="92">
        <f t="shared" si="6"/>
        <v>0.355</v>
      </c>
      <c r="V31" s="92">
        <f t="shared" si="7"/>
        <v>0.645</v>
      </c>
      <c r="W31" s="45">
        <f t="shared" si="8"/>
        <v>-1</v>
      </c>
      <c r="X31" s="44">
        <f t="shared" si="9"/>
        <v>0.001</v>
      </c>
    </row>
    <row r="32" spans="1:24" ht="12.75">
      <c r="A32" s="79">
        <f t="shared" si="0"/>
        <v>29</v>
      </c>
      <c r="B32" s="76">
        <f t="shared" si="28"/>
        <v>100</v>
      </c>
      <c r="C32" s="62">
        <f t="shared" si="10"/>
        <v>0.126025</v>
      </c>
      <c r="D32" s="63">
        <f t="shared" si="11"/>
        <v>0.45794999999999997</v>
      </c>
      <c r="E32" s="64">
        <f t="shared" si="12"/>
        <v>0.41602500000000003</v>
      </c>
      <c r="F32" s="20">
        <f t="shared" si="13"/>
        <v>0.126025</v>
      </c>
      <c r="G32" s="21">
        <f t="shared" si="14"/>
        <v>0.45794999999999997</v>
      </c>
      <c r="H32" s="22">
        <f t="shared" si="15"/>
        <v>0.41602500000000003</v>
      </c>
      <c r="I32" s="49">
        <f t="shared" si="25"/>
        <v>0.126025</v>
      </c>
      <c r="J32" s="50">
        <f t="shared" si="26"/>
        <v>0.45794999999999997</v>
      </c>
      <c r="K32" s="51">
        <f t="shared" si="27"/>
        <v>0.4160250000000001</v>
      </c>
      <c r="L32" s="77">
        <f t="shared" si="2"/>
        <v>1</v>
      </c>
      <c r="M32" s="86">
        <f t="shared" si="16"/>
        <v>0.355</v>
      </c>
      <c r="N32" s="87">
        <f t="shared" si="17"/>
        <v>0.645</v>
      </c>
      <c r="O32" s="90">
        <f t="shared" si="24"/>
        <v>0.36</v>
      </c>
      <c r="P32" s="91">
        <f t="shared" si="18"/>
        <v>0.64</v>
      </c>
      <c r="Q32" s="4">
        <f t="shared" si="19"/>
        <v>0.4649824159560012</v>
      </c>
      <c r="R32" s="45">
        <f t="shared" si="3"/>
        <v>-1</v>
      </c>
      <c r="S32" s="45">
        <f t="shared" si="4"/>
        <v>-1</v>
      </c>
      <c r="T32" s="45">
        <f t="shared" si="5"/>
        <v>-1</v>
      </c>
      <c r="U32" s="92">
        <f t="shared" si="6"/>
        <v>0.355</v>
      </c>
      <c r="V32" s="92">
        <f t="shared" si="7"/>
        <v>0.645</v>
      </c>
      <c r="W32" s="45">
        <f t="shared" si="8"/>
        <v>-1</v>
      </c>
      <c r="X32" s="44">
        <f t="shared" si="9"/>
        <v>0.001</v>
      </c>
    </row>
    <row r="33" spans="1:24" ht="12.75">
      <c r="A33" s="79">
        <f t="shared" si="0"/>
        <v>30</v>
      </c>
      <c r="B33" s="76">
        <f t="shared" si="28"/>
        <v>100</v>
      </c>
      <c r="C33" s="62">
        <f t="shared" si="10"/>
        <v>0.1296</v>
      </c>
      <c r="D33" s="63">
        <f t="shared" si="11"/>
        <v>0.4608</v>
      </c>
      <c r="E33" s="64">
        <f t="shared" si="12"/>
        <v>0.4096</v>
      </c>
      <c r="F33" s="20">
        <f t="shared" si="13"/>
        <v>0.1296</v>
      </c>
      <c r="G33" s="21">
        <f t="shared" si="14"/>
        <v>0.4608</v>
      </c>
      <c r="H33" s="22">
        <f t="shared" si="15"/>
        <v>0.4096</v>
      </c>
      <c r="I33" s="49">
        <f t="shared" si="25"/>
        <v>0.1296</v>
      </c>
      <c r="J33" s="50">
        <f t="shared" si="26"/>
        <v>0.4608</v>
      </c>
      <c r="K33" s="51">
        <f t="shared" si="27"/>
        <v>0.4096</v>
      </c>
      <c r="L33" s="77">
        <f t="shared" si="2"/>
        <v>1</v>
      </c>
      <c r="M33" s="86">
        <f t="shared" si="16"/>
        <v>0.36</v>
      </c>
      <c r="N33" s="87">
        <f t="shared" si="17"/>
        <v>0.64</v>
      </c>
      <c r="O33" s="90">
        <f t="shared" si="24"/>
        <v>0.33</v>
      </c>
      <c r="P33" s="91">
        <f t="shared" si="18"/>
        <v>0.6699999999999999</v>
      </c>
      <c r="Q33" s="4">
        <f t="shared" si="19"/>
        <v>0.8036341038878163</v>
      </c>
      <c r="R33" s="45">
        <f t="shared" si="3"/>
        <v>-1</v>
      </c>
      <c r="S33" s="45">
        <f t="shared" si="4"/>
        <v>-1</v>
      </c>
      <c r="T33" s="45">
        <f t="shared" si="5"/>
        <v>-1</v>
      </c>
      <c r="U33" s="92">
        <f t="shared" si="6"/>
        <v>0.36</v>
      </c>
      <c r="V33" s="92">
        <f t="shared" si="7"/>
        <v>0.64</v>
      </c>
      <c r="W33" s="45">
        <f t="shared" si="8"/>
        <v>-1</v>
      </c>
      <c r="X33" s="44">
        <f t="shared" si="9"/>
        <v>0.001</v>
      </c>
    </row>
    <row r="34" spans="1:24" ht="12.75">
      <c r="A34" s="79">
        <f t="shared" si="0"/>
        <v>31</v>
      </c>
      <c r="B34" s="76">
        <f t="shared" si="28"/>
        <v>100</v>
      </c>
      <c r="C34" s="62">
        <f t="shared" si="10"/>
        <v>0.10890000000000001</v>
      </c>
      <c r="D34" s="63">
        <f t="shared" si="11"/>
        <v>0.4422</v>
      </c>
      <c r="E34" s="64">
        <f t="shared" si="12"/>
        <v>0.4488999999999999</v>
      </c>
      <c r="F34" s="20">
        <f t="shared" si="13"/>
        <v>0.10890000000000001</v>
      </c>
      <c r="G34" s="21">
        <f t="shared" si="14"/>
        <v>0.4422</v>
      </c>
      <c r="H34" s="22">
        <f t="shared" si="15"/>
        <v>0.4488999999999999</v>
      </c>
      <c r="I34" s="49">
        <f t="shared" si="25"/>
        <v>0.10890000000000001</v>
      </c>
      <c r="J34" s="50">
        <f t="shared" si="26"/>
        <v>0.4422</v>
      </c>
      <c r="K34" s="51">
        <f t="shared" si="27"/>
        <v>0.4488999999999999</v>
      </c>
      <c r="L34" s="77">
        <f t="shared" si="2"/>
        <v>1</v>
      </c>
      <c r="M34" s="86">
        <f t="shared" si="16"/>
        <v>0.33</v>
      </c>
      <c r="N34" s="87">
        <f t="shared" si="17"/>
        <v>0.6699999999999999</v>
      </c>
      <c r="O34" s="90">
        <f t="shared" si="24"/>
        <v>0.31</v>
      </c>
      <c r="P34" s="91">
        <f t="shared" si="18"/>
        <v>0.69</v>
      </c>
      <c r="Q34" s="4">
        <f t="shared" si="19"/>
        <v>0.7018612822439536</v>
      </c>
      <c r="R34" s="45">
        <f t="shared" si="3"/>
        <v>-1</v>
      </c>
      <c r="S34" s="45">
        <f t="shared" si="4"/>
        <v>-1</v>
      </c>
      <c r="T34" s="45">
        <f t="shared" si="5"/>
        <v>-1</v>
      </c>
      <c r="U34" s="92">
        <f t="shared" si="6"/>
        <v>0.33</v>
      </c>
      <c r="V34" s="92">
        <f t="shared" si="7"/>
        <v>0.6699999999999999</v>
      </c>
      <c r="W34" s="45">
        <f t="shared" si="8"/>
        <v>-1</v>
      </c>
      <c r="X34" s="44">
        <f t="shared" si="9"/>
        <v>0.001</v>
      </c>
    </row>
    <row r="35" spans="1:37" ht="12.75">
      <c r="A35" s="79">
        <f t="shared" si="0"/>
        <v>32</v>
      </c>
      <c r="B35" s="76">
        <f t="shared" si="28"/>
        <v>100</v>
      </c>
      <c r="C35" s="62">
        <f t="shared" si="10"/>
        <v>0.0961</v>
      </c>
      <c r="D35" s="63">
        <f t="shared" si="11"/>
        <v>0.42779999999999996</v>
      </c>
      <c r="E35" s="64">
        <f t="shared" si="12"/>
        <v>0.4760999999999999</v>
      </c>
      <c r="F35" s="20">
        <f t="shared" si="13"/>
        <v>0.09610000000000003</v>
      </c>
      <c r="G35" s="21">
        <f t="shared" si="14"/>
        <v>0.42780000000000007</v>
      </c>
      <c r="H35" s="22">
        <f t="shared" si="15"/>
        <v>0.4761</v>
      </c>
      <c r="I35" s="49">
        <f t="shared" si="25"/>
        <v>0.0961</v>
      </c>
      <c r="J35" s="50">
        <f t="shared" si="26"/>
        <v>0.42779999999999996</v>
      </c>
      <c r="K35" s="51">
        <f t="shared" si="27"/>
        <v>0.47609999999999986</v>
      </c>
      <c r="L35" s="77">
        <f t="shared" si="2"/>
        <v>0.9999999999999998</v>
      </c>
      <c r="M35" s="86">
        <f t="shared" si="16"/>
        <v>0.31</v>
      </c>
      <c r="N35" s="87">
        <f t="shared" si="17"/>
        <v>0.6899999999999998</v>
      </c>
      <c r="O35" s="90">
        <f t="shared" si="24"/>
        <v>0.34</v>
      </c>
      <c r="P35" s="91">
        <f t="shared" si="18"/>
        <v>0.6599999999999999</v>
      </c>
      <c r="Q35" s="4">
        <f t="shared" si="19"/>
        <v>0.19097991786838975</v>
      </c>
      <c r="R35" s="45">
        <f t="shared" si="3"/>
        <v>-1</v>
      </c>
      <c r="S35" s="45">
        <f t="shared" si="4"/>
        <v>-1</v>
      </c>
      <c r="T35" s="45">
        <f t="shared" si="5"/>
        <v>-1</v>
      </c>
      <c r="U35" s="92">
        <f t="shared" si="6"/>
        <v>0.31</v>
      </c>
      <c r="V35" s="92">
        <f t="shared" si="7"/>
        <v>0.6899999999999998</v>
      </c>
      <c r="W35" s="45">
        <f t="shared" si="8"/>
        <v>-1</v>
      </c>
      <c r="X35" s="44">
        <f t="shared" si="9"/>
        <v>0.001</v>
      </c>
      <c r="AK35">
        <v>10</v>
      </c>
    </row>
    <row r="36" spans="1:24" ht="12.75">
      <c r="A36" s="79">
        <f aca="true" t="shared" si="29" ref="A36:A53">A35+1</f>
        <v>33</v>
      </c>
      <c r="B36" s="76">
        <f t="shared" si="28"/>
        <v>100</v>
      </c>
      <c r="C36" s="62">
        <f t="shared" si="10"/>
        <v>0.11560000000000002</v>
      </c>
      <c r="D36" s="63">
        <f t="shared" si="11"/>
        <v>0.4488</v>
      </c>
      <c r="E36" s="64">
        <f t="shared" si="12"/>
        <v>0.4355999999999999</v>
      </c>
      <c r="F36" s="20">
        <f t="shared" si="13"/>
        <v>0.11560000000000004</v>
      </c>
      <c r="G36" s="21">
        <f t="shared" si="14"/>
        <v>0.44880000000000003</v>
      </c>
      <c r="H36" s="22">
        <f t="shared" si="15"/>
        <v>0.43559999999999993</v>
      </c>
      <c r="I36" s="49">
        <f t="shared" si="25"/>
        <v>0.11560000000000004</v>
      </c>
      <c r="J36" s="50">
        <f t="shared" si="26"/>
        <v>0.44880000000000003</v>
      </c>
      <c r="K36" s="51">
        <f t="shared" si="27"/>
        <v>0.43559999999999993</v>
      </c>
      <c r="L36" s="77">
        <f t="shared" si="2"/>
        <v>1</v>
      </c>
      <c r="M36" s="86">
        <f t="shared" si="16"/>
        <v>0.3400000000000001</v>
      </c>
      <c r="N36" s="87">
        <f t="shared" si="17"/>
        <v>0.6599999999999999</v>
      </c>
      <c r="O36" s="90">
        <f t="shared" si="24"/>
        <v>0.31</v>
      </c>
      <c r="P36" s="91">
        <f t="shared" si="18"/>
        <v>0.69</v>
      </c>
      <c r="Q36" s="4">
        <f t="shared" si="19"/>
        <v>0.8251003854556984</v>
      </c>
      <c r="R36" s="45">
        <f t="shared" si="3"/>
        <v>-1</v>
      </c>
      <c r="S36" s="45">
        <f t="shared" si="4"/>
        <v>-1</v>
      </c>
      <c r="T36" s="45">
        <f t="shared" si="5"/>
        <v>-1</v>
      </c>
      <c r="U36" s="92">
        <f t="shared" si="6"/>
        <v>0.3400000000000001</v>
      </c>
      <c r="V36" s="92">
        <f t="shared" si="7"/>
        <v>0.6599999999999999</v>
      </c>
      <c r="W36" s="45">
        <f t="shared" si="8"/>
        <v>-1</v>
      </c>
      <c r="X36" s="44">
        <f t="shared" si="9"/>
        <v>0.001</v>
      </c>
    </row>
    <row r="37" spans="1:24" ht="12.75">
      <c r="A37" s="79">
        <f t="shared" si="29"/>
        <v>34</v>
      </c>
      <c r="B37" s="76">
        <f t="shared" si="28"/>
        <v>100</v>
      </c>
      <c r="C37" s="62">
        <f t="shared" si="10"/>
        <v>0.0961</v>
      </c>
      <c r="D37" s="63">
        <f t="shared" si="11"/>
        <v>0.42779999999999996</v>
      </c>
      <c r="E37" s="64">
        <f t="shared" si="12"/>
        <v>0.4760999999999999</v>
      </c>
      <c r="F37" s="20">
        <f t="shared" si="13"/>
        <v>0.09610000000000003</v>
      </c>
      <c r="G37" s="21">
        <f t="shared" si="14"/>
        <v>0.42780000000000007</v>
      </c>
      <c r="H37" s="22">
        <f t="shared" si="15"/>
        <v>0.4761</v>
      </c>
      <c r="I37" s="49">
        <f t="shared" si="25"/>
        <v>0.0961</v>
      </c>
      <c r="J37" s="50">
        <f t="shared" si="26"/>
        <v>0.42779999999999996</v>
      </c>
      <c r="K37" s="51">
        <f t="shared" si="27"/>
        <v>0.47609999999999986</v>
      </c>
      <c r="L37" s="77">
        <f t="shared" si="2"/>
        <v>0.9999999999999998</v>
      </c>
      <c r="M37" s="86">
        <f t="shared" si="16"/>
        <v>0.31</v>
      </c>
      <c r="N37" s="87">
        <f t="shared" si="17"/>
        <v>0.6899999999999998</v>
      </c>
      <c r="O37" s="90">
        <f t="shared" si="24"/>
        <v>0.31</v>
      </c>
      <c r="P37" s="91">
        <f t="shared" si="18"/>
        <v>0.69</v>
      </c>
      <c r="Q37" s="4">
        <f t="shared" si="19"/>
        <v>0.5222125604141183</v>
      </c>
      <c r="R37" s="45">
        <f t="shared" si="3"/>
        <v>-1</v>
      </c>
      <c r="S37" s="45">
        <f t="shared" si="4"/>
        <v>-1</v>
      </c>
      <c r="T37" s="45">
        <f t="shared" si="5"/>
        <v>-1</v>
      </c>
      <c r="U37" s="92">
        <f t="shared" si="6"/>
        <v>0.31</v>
      </c>
      <c r="V37" s="92">
        <f t="shared" si="7"/>
        <v>0.6899999999999998</v>
      </c>
      <c r="W37" s="45">
        <f t="shared" si="8"/>
        <v>-1</v>
      </c>
      <c r="X37" s="44">
        <f t="shared" si="9"/>
        <v>0.001</v>
      </c>
    </row>
    <row r="38" spans="1:24" ht="12.75">
      <c r="A38" s="79">
        <f t="shared" si="29"/>
        <v>35</v>
      </c>
      <c r="B38" s="76">
        <f>N</f>
        <v>100</v>
      </c>
      <c r="C38" s="62">
        <f t="shared" si="10"/>
        <v>0.0961</v>
      </c>
      <c r="D38" s="63">
        <f t="shared" si="11"/>
        <v>0.42779999999999996</v>
      </c>
      <c r="E38" s="64">
        <f t="shared" si="12"/>
        <v>0.4760999999999999</v>
      </c>
      <c r="F38" s="20">
        <f t="shared" si="13"/>
        <v>0.09610000000000003</v>
      </c>
      <c r="G38" s="21">
        <f t="shared" si="14"/>
        <v>0.42780000000000007</v>
      </c>
      <c r="H38" s="22">
        <f t="shared" si="15"/>
        <v>0.4761</v>
      </c>
      <c r="I38" s="49">
        <f t="shared" si="25"/>
        <v>0.0961</v>
      </c>
      <c r="J38" s="50">
        <f t="shared" si="26"/>
        <v>0.42779999999999996</v>
      </c>
      <c r="K38" s="51">
        <f t="shared" si="27"/>
        <v>0.47609999999999986</v>
      </c>
      <c r="L38" s="77">
        <f t="shared" si="2"/>
        <v>0.9999999999999998</v>
      </c>
      <c r="M38" s="86">
        <f t="shared" si="16"/>
        <v>0.31</v>
      </c>
      <c r="N38" s="87">
        <f t="shared" si="17"/>
        <v>0.6899999999999998</v>
      </c>
      <c r="O38" s="90">
        <f t="shared" si="23"/>
        <v>0.275</v>
      </c>
      <c r="P38" s="91">
        <f t="shared" si="18"/>
        <v>0.725</v>
      </c>
      <c r="Q38" s="4">
        <f t="shared" si="19"/>
        <v>0.8608828270562299</v>
      </c>
      <c r="R38" s="45">
        <f t="shared" si="3"/>
        <v>-1</v>
      </c>
      <c r="S38" s="45">
        <f t="shared" si="4"/>
        <v>-1</v>
      </c>
      <c r="T38" s="45">
        <f t="shared" si="5"/>
        <v>-1</v>
      </c>
      <c r="U38" s="92">
        <f t="shared" si="6"/>
        <v>0.31</v>
      </c>
      <c r="V38" s="92">
        <f t="shared" si="7"/>
        <v>0.6899999999999998</v>
      </c>
      <c r="W38" s="45">
        <f t="shared" si="8"/>
        <v>-1</v>
      </c>
      <c r="X38" s="44">
        <f t="shared" si="9"/>
        <v>0.001</v>
      </c>
    </row>
    <row r="39" spans="1:24" ht="12.75">
      <c r="A39" s="79">
        <f t="shared" si="29"/>
        <v>36</v>
      </c>
      <c r="B39" s="76">
        <f t="shared" si="1"/>
        <v>100</v>
      </c>
      <c r="C39" s="62">
        <f t="shared" si="10"/>
        <v>0.07562500000000001</v>
      </c>
      <c r="D39" s="63">
        <f t="shared" si="11"/>
        <v>0.39875</v>
      </c>
      <c r="E39" s="64">
        <f t="shared" si="12"/>
        <v>0.525625</v>
      </c>
      <c r="F39" s="20">
        <f t="shared" si="13"/>
        <v>0.07562500000000001</v>
      </c>
      <c r="G39" s="21">
        <f t="shared" si="14"/>
        <v>0.39875</v>
      </c>
      <c r="H39" s="22">
        <f t="shared" si="15"/>
        <v>0.525625</v>
      </c>
      <c r="I39" s="49">
        <f t="shared" si="20"/>
        <v>0.07562500000000001</v>
      </c>
      <c r="J39" s="50">
        <f t="shared" si="21"/>
        <v>0.39875</v>
      </c>
      <c r="K39" s="51">
        <f t="shared" si="22"/>
        <v>0.525625</v>
      </c>
      <c r="L39" s="77">
        <f t="shared" si="2"/>
        <v>1</v>
      </c>
      <c r="M39" s="86">
        <f t="shared" si="16"/>
        <v>0.275</v>
      </c>
      <c r="N39" s="87">
        <f t="shared" si="17"/>
        <v>0.725</v>
      </c>
      <c r="O39" s="90">
        <f t="shared" si="23"/>
        <v>0.225</v>
      </c>
      <c r="P39" s="91">
        <f t="shared" si="18"/>
        <v>0.775</v>
      </c>
      <c r="Q39" s="4">
        <f t="shared" si="19"/>
        <v>0.9415715192335483</v>
      </c>
      <c r="R39" s="45">
        <f t="shared" si="3"/>
        <v>-1</v>
      </c>
      <c r="S39" s="45">
        <f t="shared" si="4"/>
        <v>-1</v>
      </c>
      <c r="T39" s="45">
        <f t="shared" si="5"/>
        <v>-1</v>
      </c>
      <c r="U39" s="92">
        <f t="shared" si="6"/>
        <v>0.275</v>
      </c>
      <c r="V39" s="92">
        <f t="shared" si="7"/>
        <v>0.725</v>
      </c>
      <c r="W39" s="45">
        <f t="shared" si="8"/>
        <v>-1</v>
      </c>
      <c r="X39" s="44">
        <f t="shared" si="9"/>
        <v>0.001</v>
      </c>
    </row>
    <row r="40" spans="1:24" ht="12.75">
      <c r="A40" s="79">
        <f t="shared" si="29"/>
        <v>37</v>
      </c>
      <c r="B40" s="76">
        <f t="shared" si="1"/>
        <v>100</v>
      </c>
      <c r="C40" s="62">
        <f t="shared" si="10"/>
        <v>0.050625</v>
      </c>
      <c r="D40" s="63">
        <f t="shared" si="11"/>
        <v>0.34875</v>
      </c>
      <c r="E40" s="64">
        <f t="shared" si="12"/>
        <v>0.6006250000000001</v>
      </c>
      <c r="F40" s="20">
        <f t="shared" si="13"/>
        <v>0.050625</v>
      </c>
      <c r="G40" s="21">
        <f t="shared" si="14"/>
        <v>0.34875</v>
      </c>
      <c r="H40" s="22">
        <f t="shared" si="15"/>
        <v>0.6006250000000001</v>
      </c>
      <c r="I40" s="49">
        <f t="shared" si="20"/>
        <v>0.050625</v>
      </c>
      <c r="J40" s="50">
        <f t="shared" si="21"/>
        <v>0.34875</v>
      </c>
      <c r="K40" s="51">
        <f t="shared" si="22"/>
        <v>0.6006250000000001</v>
      </c>
      <c r="L40" s="77">
        <f t="shared" si="2"/>
        <v>1</v>
      </c>
      <c r="M40" s="86">
        <f t="shared" si="16"/>
        <v>0.225</v>
      </c>
      <c r="N40" s="87">
        <f t="shared" si="17"/>
        <v>0.7750000000000001</v>
      </c>
      <c r="O40" s="90">
        <f t="shared" si="23"/>
        <v>0.235</v>
      </c>
      <c r="P40" s="91">
        <f t="shared" si="18"/>
        <v>0.765</v>
      </c>
      <c r="Q40" s="4">
        <f t="shared" si="19"/>
        <v>0.38521739267889643</v>
      </c>
      <c r="R40" s="45">
        <f t="shared" si="3"/>
        <v>-1</v>
      </c>
      <c r="S40" s="45">
        <f t="shared" si="4"/>
        <v>-1</v>
      </c>
      <c r="T40" s="45">
        <f t="shared" si="5"/>
        <v>-1</v>
      </c>
      <c r="U40" s="92">
        <f t="shared" si="6"/>
        <v>0.225</v>
      </c>
      <c r="V40" s="92">
        <f t="shared" si="7"/>
        <v>0.7750000000000001</v>
      </c>
      <c r="W40" s="45">
        <f t="shared" si="8"/>
        <v>-1</v>
      </c>
      <c r="X40" s="44">
        <f t="shared" si="9"/>
        <v>0.001</v>
      </c>
    </row>
    <row r="41" spans="1:24" ht="12.75">
      <c r="A41" s="79">
        <f t="shared" si="29"/>
        <v>38</v>
      </c>
      <c r="B41" s="76">
        <f t="shared" si="1"/>
        <v>100</v>
      </c>
      <c r="C41" s="62">
        <f t="shared" si="10"/>
        <v>0.055224999999999996</v>
      </c>
      <c r="D41" s="63">
        <f t="shared" si="11"/>
        <v>0.35955</v>
      </c>
      <c r="E41" s="64">
        <f t="shared" si="12"/>
        <v>0.585225</v>
      </c>
      <c r="F41" s="20">
        <f t="shared" si="13"/>
        <v>0.055224999999999996</v>
      </c>
      <c r="G41" s="21">
        <f t="shared" si="14"/>
        <v>0.35955</v>
      </c>
      <c r="H41" s="22">
        <f t="shared" si="15"/>
        <v>0.585225</v>
      </c>
      <c r="I41" s="49">
        <f t="shared" si="20"/>
        <v>0.055224999999999996</v>
      </c>
      <c r="J41" s="50">
        <f t="shared" si="21"/>
        <v>0.35955</v>
      </c>
      <c r="K41" s="51">
        <f t="shared" si="22"/>
        <v>0.585225</v>
      </c>
      <c r="L41" s="77">
        <f t="shared" si="2"/>
        <v>1</v>
      </c>
      <c r="M41" s="86">
        <f t="shared" si="16"/>
        <v>0.235</v>
      </c>
      <c r="N41" s="87">
        <f t="shared" si="17"/>
        <v>0.765</v>
      </c>
      <c r="O41" s="90">
        <f t="shared" si="23"/>
        <v>0.24</v>
      </c>
      <c r="P41" s="91">
        <f t="shared" si="18"/>
        <v>0.76</v>
      </c>
      <c r="Q41" s="4">
        <f t="shared" si="19"/>
        <v>0.4313404994418306</v>
      </c>
      <c r="R41" s="45">
        <f t="shared" si="3"/>
        <v>-1</v>
      </c>
      <c r="S41" s="45">
        <f t="shared" si="4"/>
        <v>-1</v>
      </c>
      <c r="T41" s="45">
        <f t="shared" si="5"/>
        <v>-1</v>
      </c>
      <c r="U41" s="92">
        <f t="shared" si="6"/>
        <v>0.235</v>
      </c>
      <c r="V41" s="92">
        <f t="shared" si="7"/>
        <v>0.765</v>
      </c>
      <c r="W41" s="45">
        <f t="shared" si="8"/>
        <v>-1</v>
      </c>
      <c r="X41" s="44">
        <f t="shared" si="9"/>
        <v>0.001</v>
      </c>
    </row>
    <row r="42" spans="1:24" ht="12.75">
      <c r="A42" s="79">
        <f t="shared" si="29"/>
        <v>39</v>
      </c>
      <c r="B42" s="76">
        <f t="shared" si="1"/>
        <v>100</v>
      </c>
      <c r="C42" s="62">
        <f t="shared" si="10"/>
        <v>0.0576</v>
      </c>
      <c r="D42" s="63">
        <f t="shared" si="11"/>
        <v>0.3648</v>
      </c>
      <c r="E42" s="64">
        <f t="shared" si="12"/>
        <v>0.5776</v>
      </c>
      <c r="F42" s="20">
        <f t="shared" si="13"/>
        <v>0.0576</v>
      </c>
      <c r="G42" s="21">
        <f t="shared" si="14"/>
        <v>0.3648</v>
      </c>
      <c r="H42" s="22">
        <f t="shared" si="15"/>
        <v>0.5776</v>
      </c>
      <c r="I42" s="49">
        <f t="shared" si="20"/>
        <v>0.0576</v>
      </c>
      <c r="J42" s="50">
        <f t="shared" si="21"/>
        <v>0.3648</v>
      </c>
      <c r="K42" s="51">
        <f t="shared" si="22"/>
        <v>0.5776</v>
      </c>
      <c r="L42" s="77">
        <f t="shared" si="2"/>
        <v>1</v>
      </c>
      <c r="M42" s="86">
        <f t="shared" si="16"/>
        <v>0.24</v>
      </c>
      <c r="N42" s="87">
        <f t="shared" si="17"/>
        <v>0.76</v>
      </c>
      <c r="O42" s="90">
        <f t="shared" si="23"/>
        <v>0.245</v>
      </c>
      <c r="P42" s="91">
        <f t="shared" si="18"/>
        <v>0.755</v>
      </c>
      <c r="Q42" s="4">
        <f t="shared" si="19"/>
        <v>0.40637201821846247</v>
      </c>
      <c r="R42" s="45">
        <f t="shared" si="3"/>
        <v>-1</v>
      </c>
      <c r="S42" s="45">
        <f t="shared" si="4"/>
        <v>-1</v>
      </c>
      <c r="T42" s="45">
        <f t="shared" si="5"/>
        <v>-1</v>
      </c>
      <c r="U42" s="92">
        <f t="shared" si="6"/>
        <v>0.24</v>
      </c>
      <c r="V42" s="92">
        <f t="shared" si="7"/>
        <v>0.76</v>
      </c>
      <c r="W42" s="45">
        <f t="shared" si="8"/>
        <v>-1</v>
      </c>
      <c r="X42" s="44">
        <f t="shared" si="9"/>
        <v>0.001</v>
      </c>
    </row>
    <row r="43" spans="1:24" ht="12.75">
      <c r="A43" s="79">
        <f t="shared" si="29"/>
        <v>40</v>
      </c>
      <c r="B43" s="76">
        <f t="shared" si="1"/>
        <v>100</v>
      </c>
      <c r="C43" s="62">
        <f t="shared" si="10"/>
        <v>0.060024999999999995</v>
      </c>
      <c r="D43" s="63">
        <f t="shared" si="11"/>
        <v>0.36995</v>
      </c>
      <c r="E43" s="64">
        <f t="shared" si="12"/>
        <v>0.570025</v>
      </c>
      <c r="F43" s="20">
        <f t="shared" si="13"/>
        <v>0.060024999999999995</v>
      </c>
      <c r="G43" s="21">
        <f t="shared" si="14"/>
        <v>0.36995</v>
      </c>
      <c r="H43" s="22">
        <f t="shared" si="15"/>
        <v>0.570025</v>
      </c>
      <c r="I43" s="49">
        <f t="shared" si="20"/>
        <v>0.060024999999999995</v>
      </c>
      <c r="J43" s="50">
        <f t="shared" si="21"/>
        <v>0.36995</v>
      </c>
      <c r="K43" s="51">
        <f t="shared" si="22"/>
        <v>0.570025</v>
      </c>
      <c r="L43" s="77">
        <f t="shared" si="2"/>
        <v>1</v>
      </c>
      <c r="M43" s="86">
        <f t="shared" si="16"/>
        <v>0.245</v>
      </c>
      <c r="N43" s="87">
        <f t="shared" si="17"/>
        <v>0.755</v>
      </c>
      <c r="O43" s="90">
        <f t="shared" si="23"/>
        <v>0.27</v>
      </c>
      <c r="P43" s="91">
        <f t="shared" si="18"/>
        <v>0.73</v>
      </c>
      <c r="Q43" s="4">
        <f t="shared" si="19"/>
        <v>0.190917923519919</v>
      </c>
      <c r="R43" s="45">
        <f t="shared" si="3"/>
        <v>-1</v>
      </c>
      <c r="S43" s="45">
        <f t="shared" si="4"/>
        <v>-1</v>
      </c>
      <c r="T43" s="45">
        <f t="shared" si="5"/>
        <v>-1</v>
      </c>
      <c r="U43" s="92">
        <f t="shared" si="6"/>
        <v>0.245</v>
      </c>
      <c r="V43" s="92">
        <f t="shared" si="7"/>
        <v>0.755</v>
      </c>
      <c r="W43" s="45">
        <f t="shared" si="8"/>
        <v>-1</v>
      </c>
      <c r="X43" s="44">
        <f t="shared" si="9"/>
        <v>0.001</v>
      </c>
    </row>
    <row r="44" spans="1:24" ht="12.75">
      <c r="A44" s="79">
        <f t="shared" si="29"/>
        <v>41</v>
      </c>
      <c r="B44" s="76">
        <f t="shared" si="1"/>
        <v>100</v>
      </c>
      <c r="C44" s="62">
        <f t="shared" si="10"/>
        <v>0.0729</v>
      </c>
      <c r="D44" s="63">
        <f t="shared" si="11"/>
        <v>0.3942</v>
      </c>
      <c r="E44" s="64">
        <f t="shared" si="12"/>
        <v>0.5328999999999999</v>
      </c>
      <c r="F44" s="20">
        <f t="shared" si="13"/>
        <v>0.0729</v>
      </c>
      <c r="G44" s="21">
        <f t="shared" si="14"/>
        <v>0.3942</v>
      </c>
      <c r="H44" s="22">
        <f t="shared" si="15"/>
        <v>0.5328999999999999</v>
      </c>
      <c r="I44" s="49">
        <f t="shared" si="20"/>
        <v>0.0729</v>
      </c>
      <c r="J44" s="50">
        <f t="shared" si="21"/>
        <v>0.3942</v>
      </c>
      <c r="K44" s="51">
        <f t="shared" si="22"/>
        <v>0.5328999999999999</v>
      </c>
      <c r="L44" s="77">
        <f t="shared" si="2"/>
        <v>1</v>
      </c>
      <c r="M44" s="86">
        <f t="shared" si="16"/>
        <v>0.27</v>
      </c>
      <c r="N44" s="87">
        <f t="shared" si="17"/>
        <v>0.73</v>
      </c>
      <c r="O44" s="90">
        <f t="shared" si="23"/>
        <v>0.295</v>
      </c>
      <c r="P44" s="91">
        <f t="shared" si="18"/>
        <v>0.7050000000000001</v>
      </c>
      <c r="Q44" s="4">
        <f t="shared" si="19"/>
        <v>0.21625388912434573</v>
      </c>
      <c r="R44" s="45">
        <f t="shared" si="3"/>
        <v>-1</v>
      </c>
      <c r="S44" s="45">
        <f t="shared" si="4"/>
        <v>-1</v>
      </c>
      <c r="T44" s="45">
        <f t="shared" si="5"/>
        <v>-1</v>
      </c>
      <c r="U44" s="92">
        <f t="shared" si="6"/>
        <v>0.27</v>
      </c>
      <c r="V44" s="92">
        <f t="shared" si="7"/>
        <v>0.73</v>
      </c>
      <c r="W44" s="45">
        <f t="shared" si="8"/>
        <v>-1</v>
      </c>
      <c r="X44" s="44">
        <f t="shared" si="9"/>
        <v>0.001</v>
      </c>
    </row>
    <row r="45" spans="1:24" ht="12.75">
      <c r="A45" s="79">
        <f t="shared" si="29"/>
        <v>42</v>
      </c>
      <c r="B45" s="76">
        <f t="shared" si="1"/>
        <v>100</v>
      </c>
      <c r="C45" s="62">
        <f t="shared" si="10"/>
        <v>0.08702499999999999</v>
      </c>
      <c r="D45" s="63">
        <f t="shared" si="11"/>
        <v>0.41595000000000004</v>
      </c>
      <c r="E45" s="64">
        <f t="shared" si="12"/>
        <v>0.4970250000000001</v>
      </c>
      <c r="F45" s="20">
        <f t="shared" si="13"/>
        <v>0.08702499999999998</v>
      </c>
      <c r="G45" s="21">
        <f t="shared" si="14"/>
        <v>0.41594999999999993</v>
      </c>
      <c r="H45" s="22">
        <f t="shared" si="15"/>
        <v>0.497025</v>
      </c>
      <c r="I45" s="49">
        <f t="shared" si="20"/>
        <v>0.08702499999999996</v>
      </c>
      <c r="J45" s="50">
        <f t="shared" si="21"/>
        <v>0.41594999999999993</v>
      </c>
      <c r="K45" s="51">
        <f t="shared" si="22"/>
        <v>0.497025</v>
      </c>
      <c r="L45" s="77">
        <f t="shared" si="2"/>
        <v>1</v>
      </c>
      <c r="M45" s="86">
        <f t="shared" si="16"/>
        <v>0.29499999999999993</v>
      </c>
      <c r="N45" s="87">
        <f t="shared" si="17"/>
        <v>0.705</v>
      </c>
      <c r="O45" s="90">
        <f t="shared" si="23"/>
        <v>0.35</v>
      </c>
      <c r="P45" s="91">
        <f t="shared" si="18"/>
        <v>0.65</v>
      </c>
      <c r="Q45" s="4">
        <f t="shared" si="19"/>
        <v>0.04077209019942529</v>
      </c>
      <c r="R45" s="45">
        <f t="shared" si="3"/>
        <v>-1</v>
      </c>
      <c r="S45" s="45">
        <f t="shared" si="4"/>
        <v>-1</v>
      </c>
      <c r="T45" s="45">
        <f t="shared" si="5"/>
        <v>-1</v>
      </c>
      <c r="U45" s="92">
        <f t="shared" si="6"/>
        <v>0.29499999999999993</v>
      </c>
      <c r="V45" s="92">
        <f t="shared" si="7"/>
        <v>0.705</v>
      </c>
      <c r="W45" s="45">
        <f t="shared" si="8"/>
        <v>-1</v>
      </c>
      <c r="X45" s="44">
        <f t="shared" si="9"/>
        <v>0.001</v>
      </c>
    </row>
    <row r="46" spans="1:24" ht="12.75">
      <c r="A46" s="79">
        <f t="shared" si="29"/>
        <v>43</v>
      </c>
      <c r="B46" s="76">
        <f t="shared" si="1"/>
        <v>100</v>
      </c>
      <c r="C46" s="62">
        <f t="shared" si="10"/>
        <v>0.12249999999999998</v>
      </c>
      <c r="D46" s="63">
        <f t="shared" si="11"/>
        <v>0.45499999999999996</v>
      </c>
      <c r="E46" s="64">
        <f t="shared" si="12"/>
        <v>0.42250000000000004</v>
      </c>
      <c r="F46" s="20">
        <f t="shared" si="13"/>
        <v>0.12249999999999998</v>
      </c>
      <c r="G46" s="21">
        <f t="shared" si="14"/>
        <v>0.45499999999999996</v>
      </c>
      <c r="H46" s="22">
        <f t="shared" si="15"/>
        <v>0.42250000000000004</v>
      </c>
      <c r="I46" s="49">
        <f t="shared" si="20"/>
        <v>0.12249999999999998</v>
      </c>
      <c r="J46" s="50">
        <f t="shared" si="21"/>
        <v>0.4549999999999999</v>
      </c>
      <c r="K46" s="51">
        <f t="shared" si="22"/>
        <v>0.4225000000000001</v>
      </c>
      <c r="L46" s="77">
        <f t="shared" si="2"/>
        <v>1</v>
      </c>
      <c r="M46" s="86">
        <f t="shared" si="16"/>
        <v>0.3499999999999999</v>
      </c>
      <c r="N46" s="87">
        <f t="shared" si="17"/>
        <v>0.65</v>
      </c>
      <c r="O46" s="90">
        <f t="shared" si="23"/>
        <v>0.34</v>
      </c>
      <c r="P46" s="91">
        <f t="shared" si="18"/>
        <v>0.6599999999999999</v>
      </c>
      <c r="Q46" s="4">
        <f t="shared" si="19"/>
        <v>0.6340248485557822</v>
      </c>
      <c r="R46" s="45">
        <f t="shared" si="3"/>
        <v>-1</v>
      </c>
      <c r="S46" s="45">
        <f t="shared" si="4"/>
        <v>-1</v>
      </c>
      <c r="T46" s="45">
        <f t="shared" si="5"/>
        <v>-1</v>
      </c>
      <c r="U46" s="92">
        <f t="shared" si="6"/>
        <v>0.3499999999999999</v>
      </c>
      <c r="V46" s="92">
        <f t="shared" si="7"/>
        <v>0.65</v>
      </c>
      <c r="W46" s="45">
        <f t="shared" si="8"/>
        <v>-1</v>
      </c>
      <c r="X46" s="44">
        <f t="shared" si="9"/>
        <v>0.001</v>
      </c>
    </row>
    <row r="47" spans="1:24" ht="12.75">
      <c r="A47" s="79">
        <f t="shared" si="29"/>
        <v>44</v>
      </c>
      <c r="B47" s="76">
        <f t="shared" si="1"/>
        <v>100</v>
      </c>
      <c r="C47" s="62">
        <f t="shared" si="10"/>
        <v>0.11560000000000002</v>
      </c>
      <c r="D47" s="63">
        <f t="shared" si="11"/>
        <v>0.4488</v>
      </c>
      <c r="E47" s="64">
        <f t="shared" si="12"/>
        <v>0.4355999999999999</v>
      </c>
      <c r="F47" s="20">
        <f t="shared" si="13"/>
        <v>0.11560000000000004</v>
      </c>
      <c r="G47" s="21">
        <f t="shared" si="14"/>
        <v>0.44880000000000003</v>
      </c>
      <c r="H47" s="22">
        <f t="shared" si="15"/>
        <v>0.43559999999999993</v>
      </c>
      <c r="I47" s="49">
        <f t="shared" si="20"/>
        <v>0.11560000000000004</v>
      </c>
      <c r="J47" s="50">
        <f t="shared" si="21"/>
        <v>0.44880000000000003</v>
      </c>
      <c r="K47" s="51">
        <f t="shared" si="22"/>
        <v>0.43559999999999993</v>
      </c>
      <c r="L47" s="77">
        <f t="shared" si="2"/>
        <v>1</v>
      </c>
      <c r="M47" s="86">
        <f t="shared" si="16"/>
        <v>0.3400000000000001</v>
      </c>
      <c r="N47" s="87">
        <f t="shared" si="17"/>
        <v>0.6599999999999999</v>
      </c>
      <c r="O47" s="90">
        <f t="shared" si="23"/>
        <v>0.275</v>
      </c>
      <c r="P47" s="91">
        <f t="shared" si="18"/>
        <v>0.725</v>
      </c>
      <c r="Q47" s="4">
        <f t="shared" si="19"/>
        <v>0.9693646663372419</v>
      </c>
      <c r="R47" s="45">
        <f t="shared" si="3"/>
        <v>-1</v>
      </c>
      <c r="S47" s="45">
        <f t="shared" si="4"/>
        <v>-1</v>
      </c>
      <c r="T47" s="45">
        <f t="shared" si="5"/>
        <v>-1</v>
      </c>
      <c r="U47" s="92">
        <f t="shared" si="6"/>
        <v>0.3400000000000001</v>
      </c>
      <c r="V47" s="92">
        <f t="shared" si="7"/>
        <v>0.6599999999999999</v>
      </c>
      <c r="W47" s="45">
        <f t="shared" si="8"/>
        <v>-1</v>
      </c>
      <c r="X47" s="44">
        <f t="shared" si="9"/>
        <v>0.001</v>
      </c>
    </row>
    <row r="48" spans="1:24" ht="12.75">
      <c r="A48" s="79">
        <f t="shared" si="29"/>
        <v>45</v>
      </c>
      <c r="B48" s="76">
        <f t="shared" si="1"/>
        <v>100</v>
      </c>
      <c r="C48" s="62">
        <f t="shared" si="10"/>
        <v>0.07562500000000001</v>
      </c>
      <c r="D48" s="63">
        <f t="shared" si="11"/>
        <v>0.39875</v>
      </c>
      <c r="E48" s="64">
        <f t="shared" si="12"/>
        <v>0.525625</v>
      </c>
      <c r="F48" s="20">
        <f t="shared" si="13"/>
        <v>0.07562500000000001</v>
      </c>
      <c r="G48" s="21">
        <f t="shared" si="14"/>
        <v>0.39875</v>
      </c>
      <c r="H48" s="22">
        <f t="shared" si="15"/>
        <v>0.525625</v>
      </c>
      <c r="I48" s="49">
        <f t="shared" si="20"/>
        <v>0.07562500000000001</v>
      </c>
      <c r="J48" s="50">
        <f t="shared" si="21"/>
        <v>0.39875</v>
      </c>
      <c r="K48" s="51">
        <f t="shared" si="22"/>
        <v>0.525625</v>
      </c>
      <c r="L48" s="77">
        <f t="shared" si="2"/>
        <v>1</v>
      </c>
      <c r="M48" s="86">
        <f t="shared" si="16"/>
        <v>0.275</v>
      </c>
      <c r="N48" s="87">
        <f t="shared" si="17"/>
        <v>0.725</v>
      </c>
      <c r="O48" s="90">
        <f t="shared" si="23"/>
        <v>0.29</v>
      </c>
      <c r="P48" s="91">
        <f t="shared" si="18"/>
        <v>0.71</v>
      </c>
      <c r="Q48" s="4">
        <f t="shared" si="19"/>
        <v>0.3417150980531005</v>
      </c>
      <c r="R48" s="45">
        <f t="shared" si="3"/>
        <v>-1</v>
      </c>
      <c r="S48" s="45">
        <f t="shared" si="4"/>
        <v>-1</v>
      </c>
      <c r="T48" s="45">
        <f t="shared" si="5"/>
        <v>-1</v>
      </c>
      <c r="U48" s="92">
        <f t="shared" si="6"/>
        <v>0.275</v>
      </c>
      <c r="V48" s="92">
        <f t="shared" si="7"/>
        <v>0.725</v>
      </c>
      <c r="W48" s="45">
        <f t="shared" si="8"/>
        <v>-1</v>
      </c>
      <c r="X48" s="44">
        <f t="shared" si="9"/>
        <v>0.001</v>
      </c>
    </row>
    <row r="49" spans="1:24" ht="12.75">
      <c r="A49" s="79">
        <f t="shared" si="29"/>
        <v>46</v>
      </c>
      <c r="B49" s="76">
        <f t="shared" si="1"/>
        <v>100</v>
      </c>
      <c r="C49" s="62">
        <f t="shared" si="10"/>
        <v>0.0841</v>
      </c>
      <c r="D49" s="63">
        <f t="shared" si="11"/>
        <v>0.41179999999999994</v>
      </c>
      <c r="E49" s="64">
        <f t="shared" si="12"/>
        <v>0.5041</v>
      </c>
      <c r="F49" s="20">
        <f t="shared" si="13"/>
        <v>0.0841</v>
      </c>
      <c r="G49" s="21">
        <f t="shared" si="14"/>
        <v>0.41179999999999994</v>
      </c>
      <c r="H49" s="22">
        <f t="shared" si="15"/>
        <v>0.5041</v>
      </c>
      <c r="I49" s="49">
        <f t="shared" si="20"/>
        <v>0.08410000000000001</v>
      </c>
      <c r="J49" s="50">
        <f t="shared" si="21"/>
        <v>0.41179999999999994</v>
      </c>
      <c r="K49" s="51">
        <f t="shared" si="22"/>
        <v>0.5041</v>
      </c>
      <c r="L49" s="77">
        <f t="shared" si="2"/>
        <v>1</v>
      </c>
      <c r="M49" s="86">
        <f t="shared" si="16"/>
        <v>0.29</v>
      </c>
      <c r="N49" s="87">
        <f t="shared" si="17"/>
        <v>0.71</v>
      </c>
      <c r="O49" s="90">
        <f t="shared" si="23"/>
        <v>0.32</v>
      </c>
      <c r="P49" s="91">
        <f t="shared" si="18"/>
        <v>0.6799999999999999</v>
      </c>
      <c r="Q49" s="4">
        <f t="shared" si="19"/>
        <v>0.1953049795001789</v>
      </c>
      <c r="R49" s="45">
        <f t="shared" si="3"/>
        <v>-1</v>
      </c>
      <c r="S49" s="45">
        <f t="shared" si="4"/>
        <v>-1</v>
      </c>
      <c r="T49" s="45">
        <f t="shared" si="5"/>
        <v>-1</v>
      </c>
      <c r="U49" s="92">
        <f t="shared" si="6"/>
        <v>0.29</v>
      </c>
      <c r="V49" s="92">
        <f t="shared" si="7"/>
        <v>0.71</v>
      </c>
      <c r="W49" s="45">
        <f t="shared" si="8"/>
        <v>-1</v>
      </c>
      <c r="X49" s="44">
        <f t="shared" si="9"/>
        <v>0.001</v>
      </c>
    </row>
    <row r="50" spans="1:24" ht="12.75">
      <c r="A50" s="79">
        <f t="shared" si="29"/>
        <v>47</v>
      </c>
      <c r="B50" s="76">
        <f t="shared" si="1"/>
        <v>100</v>
      </c>
      <c r="C50" s="62">
        <f t="shared" si="10"/>
        <v>0.1024</v>
      </c>
      <c r="D50" s="63">
        <f t="shared" si="11"/>
        <v>0.4352</v>
      </c>
      <c r="E50" s="64">
        <f t="shared" si="12"/>
        <v>0.4623999999999999</v>
      </c>
      <c r="F50" s="20">
        <f t="shared" si="13"/>
        <v>0.10240000000000002</v>
      </c>
      <c r="G50" s="21">
        <f t="shared" si="14"/>
        <v>0.43520000000000003</v>
      </c>
      <c r="H50" s="22">
        <f t="shared" si="15"/>
        <v>0.4624</v>
      </c>
      <c r="I50" s="49">
        <f t="shared" si="20"/>
        <v>0.10240000000000002</v>
      </c>
      <c r="J50" s="50">
        <f t="shared" si="21"/>
        <v>0.43520000000000003</v>
      </c>
      <c r="K50" s="51">
        <f t="shared" si="22"/>
        <v>0.4623999999999999</v>
      </c>
      <c r="L50" s="77">
        <f t="shared" si="2"/>
        <v>1</v>
      </c>
      <c r="M50" s="86">
        <f t="shared" si="16"/>
        <v>0.32000000000000006</v>
      </c>
      <c r="N50" s="87">
        <f t="shared" si="17"/>
        <v>0.6799999999999999</v>
      </c>
      <c r="O50" s="90">
        <f t="shared" si="23"/>
        <v>0.335</v>
      </c>
      <c r="P50" s="91">
        <f t="shared" si="18"/>
        <v>0.665</v>
      </c>
      <c r="Q50" s="4">
        <f t="shared" si="19"/>
        <v>0.30153067125684174</v>
      </c>
      <c r="R50" s="45">
        <f t="shared" si="3"/>
        <v>-1</v>
      </c>
      <c r="S50" s="45">
        <f t="shared" si="4"/>
        <v>-1</v>
      </c>
      <c r="T50" s="45">
        <f t="shared" si="5"/>
        <v>-1</v>
      </c>
      <c r="U50" s="92">
        <f t="shared" si="6"/>
        <v>0.32000000000000006</v>
      </c>
      <c r="V50" s="92">
        <f t="shared" si="7"/>
        <v>0.6799999999999999</v>
      </c>
      <c r="W50" s="45">
        <f t="shared" si="8"/>
        <v>-1</v>
      </c>
      <c r="X50" s="44">
        <f t="shared" si="9"/>
        <v>0.001</v>
      </c>
    </row>
    <row r="51" spans="1:24" ht="12.75">
      <c r="A51" s="79">
        <f t="shared" si="29"/>
        <v>48</v>
      </c>
      <c r="B51" s="76">
        <f t="shared" si="1"/>
        <v>100</v>
      </c>
      <c r="C51" s="62">
        <f t="shared" si="10"/>
        <v>0.11222500000000002</v>
      </c>
      <c r="D51" s="63">
        <f t="shared" si="11"/>
        <v>0.44555000000000006</v>
      </c>
      <c r="E51" s="64">
        <f t="shared" si="12"/>
        <v>0.44222500000000003</v>
      </c>
      <c r="F51" s="20">
        <f t="shared" si="13"/>
        <v>0.11222499999999999</v>
      </c>
      <c r="G51" s="21">
        <f t="shared" si="14"/>
        <v>0.44554999999999995</v>
      </c>
      <c r="H51" s="22">
        <f t="shared" si="15"/>
        <v>0.4422249999999999</v>
      </c>
      <c r="I51" s="49">
        <f t="shared" si="20"/>
        <v>0.11222500000000002</v>
      </c>
      <c r="J51" s="50">
        <f t="shared" si="21"/>
        <v>0.44555000000000006</v>
      </c>
      <c r="K51" s="51">
        <f t="shared" si="22"/>
        <v>0.44222500000000003</v>
      </c>
      <c r="L51" s="77">
        <f t="shared" si="2"/>
        <v>1.0000000000000002</v>
      </c>
      <c r="M51" s="86">
        <f t="shared" si="16"/>
        <v>0.3350000000000001</v>
      </c>
      <c r="N51" s="87">
        <f t="shared" si="17"/>
        <v>0.665</v>
      </c>
      <c r="O51" s="90">
        <f t="shared" si="23"/>
        <v>0.33</v>
      </c>
      <c r="P51" s="91">
        <f t="shared" si="18"/>
        <v>0.6699999999999999</v>
      </c>
      <c r="Q51" s="4">
        <f t="shared" si="19"/>
        <v>0.5440494134427354</v>
      </c>
      <c r="R51" s="45">
        <f t="shared" si="3"/>
        <v>-1</v>
      </c>
      <c r="S51" s="45">
        <f t="shared" si="4"/>
        <v>-1</v>
      </c>
      <c r="T51" s="45">
        <f t="shared" si="5"/>
        <v>-1</v>
      </c>
      <c r="U51" s="92">
        <f t="shared" si="6"/>
        <v>0.3350000000000001</v>
      </c>
      <c r="V51" s="92">
        <f t="shared" si="7"/>
        <v>0.665</v>
      </c>
      <c r="W51" s="45">
        <f t="shared" si="8"/>
        <v>-1</v>
      </c>
      <c r="X51" s="44">
        <f t="shared" si="9"/>
        <v>0.001</v>
      </c>
    </row>
    <row r="52" spans="1:24" ht="12.75">
      <c r="A52" s="79">
        <f t="shared" si="29"/>
        <v>49</v>
      </c>
      <c r="B52" s="76">
        <f t="shared" si="1"/>
        <v>100</v>
      </c>
      <c r="C52" s="62">
        <f t="shared" si="10"/>
        <v>0.10890000000000001</v>
      </c>
      <c r="D52" s="63">
        <f t="shared" si="11"/>
        <v>0.4422</v>
      </c>
      <c r="E52" s="64">
        <f t="shared" si="12"/>
        <v>0.4488999999999999</v>
      </c>
      <c r="F52" s="20">
        <f t="shared" si="13"/>
        <v>0.10890000000000001</v>
      </c>
      <c r="G52" s="21">
        <f t="shared" si="14"/>
        <v>0.4422</v>
      </c>
      <c r="H52" s="22">
        <f t="shared" si="15"/>
        <v>0.4488999999999999</v>
      </c>
      <c r="I52" s="49">
        <f t="shared" si="20"/>
        <v>0.10890000000000001</v>
      </c>
      <c r="J52" s="50">
        <f t="shared" si="21"/>
        <v>0.4422</v>
      </c>
      <c r="K52" s="51">
        <f t="shared" si="22"/>
        <v>0.4488999999999999</v>
      </c>
      <c r="L52" s="77">
        <f t="shared" si="2"/>
        <v>1</v>
      </c>
      <c r="M52" s="86">
        <f t="shared" si="16"/>
        <v>0.33</v>
      </c>
      <c r="N52" s="87">
        <f t="shared" si="17"/>
        <v>0.6699999999999999</v>
      </c>
      <c r="O52" s="90">
        <f t="shared" si="23"/>
        <v>0.345</v>
      </c>
      <c r="P52" s="91">
        <f t="shared" si="18"/>
        <v>0.655</v>
      </c>
      <c r="Q52" s="4">
        <f t="shared" si="19"/>
        <v>0.3206164211042051</v>
      </c>
      <c r="R52" s="45">
        <f t="shared" si="3"/>
        <v>-1</v>
      </c>
      <c r="S52" s="45">
        <f t="shared" si="4"/>
        <v>-1</v>
      </c>
      <c r="T52" s="45">
        <f t="shared" si="5"/>
        <v>-1</v>
      </c>
      <c r="U52" s="92">
        <f t="shared" si="6"/>
        <v>0.33</v>
      </c>
      <c r="V52" s="92">
        <f t="shared" si="7"/>
        <v>0.6699999999999999</v>
      </c>
      <c r="W52" s="45">
        <f t="shared" si="8"/>
        <v>-1</v>
      </c>
      <c r="X52" s="44">
        <f t="shared" si="9"/>
        <v>0.001</v>
      </c>
    </row>
    <row r="53" spans="1:24" ht="12.75">
      <c r="A53" s="79">
        <f t="shared" si="29"/>
        <v>50</v>
      </c>
      <c r="B53" s="76">
        <f t="shared" si="1"/>
        <v>100</v>
      </c>
      <c r="C53" s="65">
        <f t="shared" si="10"/>
        <v>0.11902499999999998</v>
      </c>
      <c r="D53" s="66">
        <f t="shared" si="11"/>
        <v>0.45194999999999996</v>
      </c>
      <c r="E53" s="67">
        <f t="shared" si="12"/>
        <v>0.42902500000000005</v>
      </c>
      <c r="F53" s="23">
        <f t="shared" si="13"/>
        <v>0.11902499999999998</v>
      </c>
      <c r="G53" s="24">
        <f t="shared" si="14"/>
        <v>0.45194999999999996</v>
      </c>
      <c r="H53" s="25">
        <f t="shared" si="15"/>
        <v>0.42902500000000005</v>
      </c>
      <c r="I53" s="52">
        <f t="shared" si="20"/>
        <v>0.11902499999999998</v>
      </c>
      <c r="J53" s="53">
        <f t="shared" si="21"/>
        <v>0.4519499999999999</v>
      </c>
      <c r="K53" s="54">
        <f t="shared" si="22"/>
        <v>0.42902500000000005</v>
      </c>
      <c r="L53" s="78">
        <f t="shared" si="2"/>
        <v>1</v>
      </c>
      <c r="M53" s="88">
        <f t="shared" si="16"/>
        <v>0.3449999999999999</v>
      </c>
      <c r="N53" s="89">
        <f t="shared" si="17"/>
        <v>0.655</v>
      </c>
      <c r="O53" s="94" t="s">
        <v>45</v>
      </c>
      <c r="P53" s="95" t="s">
        <v>45</v>
      </c>
      <c r="Q53" s="4">
        <f t="shared" si="19"/>
        <v>0.9851986643980126</v>
      </c>
      <c r="R53" s="45">
        <f t="shared" si="3"/>
        <v>-1</v>
      </c>
      <c r="S53" s="45">
        <f t="shared" si="4"/>
        <v>-1</v>
      </c>
      <c r="T53" s="45">
        <f t="shared" si="5"/>
        <v>-1</v>
      </c>
      <c r="U53" s="92">
        <f t="shared" si="6"/>
        <v>0.3449999999999999</v>
      </c>
      <c r="V53" s="92">
        <f t="shared" si="7"/>
        <v>0.655</v>
      </c>
      <c r="W53" s="45">
        <f t="shared" si="8"/>
        <v>-1</v>
      </c>
      <c r="X53" s="44">
        <f t="shared" si="9"/>
        <v>0.001</v>
      </c>
    </row>
    <row r="54" spans="1:2" ht="12.75">
      <c r="A54" s="79"/>
      <c r="B54" s="76"/>
    </row>
  </sheetData>
  <sheetProtection sheet="1" objects="1" scenarios="1"/>
  <mergeCells count="6">
    <mergeCell ref="O1:P1"/>
    <mergeCell ref="L1:L2"/>
    <mergeCell ref="C1:E1"/>
    <mergeCell ref="M1:N1"/>
    <mergeCell ref="F1:H1"/>
    <mergeCell ref="I1:K1"/>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21"/>
  <sheetViews>
    <sheetView workbookViewId="0" topLeftCell="A1">
      <selection activeCell="C17" sqref="C17"/>
    </sheetView>
  </sheetViews>
  <sheetFormatPr defaultColWidth="11.00390625" defaultRowHeight="12"/>
  <cols>
    <col min="1" max="1" width="85.625" style="0" customWidth="1"/>
  </cols>
  <sheetData>
    <row r="1" ht="13.5">
      <c r="A1" s="103" t="s">
        <v>46</v>
      </c>
    </row>
    <row r="2" ht="39">
      <c r="A2" s="96" t="s">
        <v>3</v>
      </c>
    </row>
    <row r="3" ht="25.5">
      <c r="A3" s="104" t="s">
        <v>47</v>
      </c>
    </row>
    <row r="4" ht="39">
      <c r="A4" s="104" t="s">
        <v>4</v>
      </c>
    </row>
    <row r="5" ht="13.5">
      <c r="A5" s="104" t="s">
        <v>5</v>
      </c>
    </row>
    <row r="6" ht="13.5">
      <c r="A6" s="97" t="s">
        <v>6</v>
      </c>
    </row>
    <row r="7" ht="13.5">
      <c r="A7" s="97" t="s">
        <v>48</v>
      </c>
    </row>
    <row r="8" ht="13.5">
      <c r="A8" s="104" t="s">
        <v>49</v>
      </c>
    </row>
    <row r="9" ht="25.5">
      <c r="A9" s="104" t="s">
        <v>50</v>
      </c>
    </row>
    <row r="10" ht="13.5">
      <c r="A10" s="104"/>
    </row>
    <row r="11" ht="51.75">
      <c r="A11" s="98" t="s">
        <v>7</v>
      </c>
    </row>
    <row r="12" ht="13.5">
      <c r="A12" s="99"/>
    </row>
    <row r="13" ht="13.5">
      <c r="A13" s="99"/>
    </row>
    <row r="14" ht="13.5">
      <c r="A14" s="100" t="s">
        <v>0</v>
      </c>
    </row>
    <row r="15" ht="13.5">
      <c r="A15" s="96" t="s">
        <v>1</v>
      </c>
    </row>
    <row r="16" ht="13.5">
      <c r="A16" s="96" t="s">
        <v>10</v>
      </c>
    </row>
    <row r="17" ht="13.5">
      <c r="A17" s="96" t="s">
        <v>11</v>
      </c>
    </row>
    <row r="18" ht="13.5">
      <c r="A18" s="96" t="s">
        <v>2</v>
      </c>
    </row>
    <row r="19" ht="39">
      <c r="A19" s="104" t="s">
        <v>8</v>
      </c>
    </row>
    <row r="20" ht="13.5">
      <c r="A20" s="101" t="s">
        <v>9</v>
      </c>
    </row>
    <row r="21" ht="13.5">
      <c r="A21" s="102"/>
    </row>
  </sheetData>
  <sheetProtection sheet="1" objects="1" scenario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Beloit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Weisstein</dc:creator>
  <cp:keywords/>
  <dc:description/>
  <cp:lastModifiedBy>Michael Zunick</cp:lastModifiedBy>
  <cp:lastPrinted>2003-09-29T16:07:51Z</cp:lastPrinted>
  <dcterms:created xsi:type="dcterms:W3CDTF">2003-09-22T17:55:27Z</dcterms:created>
  <dcterms:modified xsi:type="dcterms:W3CDTF">2015-03-13T14:38:39Z</dcterms:modified>
  <cp:category/>
  <cp:version/>
  <cp:contentType/>
  <cp:contentStatus/>
</cp:coreProperties>
</file>